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1340" windowHeight="8580" activeTab="2"/>
  </bookViews>
  <sheets>
    <sheet name="Introduction" sheetId="1" r:id="rId1"/>
    <sheet name="Instructions" sheetId="2" r:id="rId2"/>
    <sheet name="Haul Input" sheetId="3" r:id="rId3"/>
    <sheet name="Haul Output" sheetId="4" r:id="rId4"/>
  </sheets>
  <definedNames>
    <definedName name="ANIMAL">'Haul Input'!$C$3</definedName>
    <definedName name="CEC">'Haul Input'!$G$32</definedName>
    <definedName name="Credits">'Haul Output'!$R$108:$R$119</definedName>
    <definedName name="CROPGROWN">'Haul Input'!$C$21</definedName>
    <definedName name="CROPNAME">'Haul Output'!$U$111:$U$122</definedName>
    <definedName name="KST">'Haul Input'!$G$33</definedName>
    <definedName name="MANURETYPE">'Haul Output'!$O$109:$O$110</definedName>
    <definedName name="ncredit">#REF!</definedName>
    <definedName name="NCROP">'Haul Input'!$G$21</definedName>
    <definedName name="RECNIT">'Haul Input'!$C$23</definedName>
    <definedName name="SPECIES">'Haul Output'!$X$96:$X$107</definedName>
    <definedName name="STL">'Haul Input'!$G$27</definedName>
    <definedName name="YIELDGOAL">'Haul Input'!$C$22</definedName>
  </definedNames>
  <calcPr fullCalcOnLoad="1"/>
</workbook>
</file>

<file path=xl/comments3.xml><?xml version="1.0" encoding="utf-8"?>
<comments xmlns="http://schemas.openxmlformats.org/spreadsheetml/2006/main">
  <authors>
    <author>Bob Battel</author>
  </authors>
  <commentList>
    <comment ref="C4" authorId="0">
      <text>
        <r>
          <rPr>
            <b/>
            <sz val="8"/>
            <rFont val="Tahoma"/>
            <family val="0"/>
          </rPr>
          <t>See "Calculate number of animal units" cell to calculate this value.</t>
        </r>
        <r>
          <rPr>
            <sz val="8"/>
            <rFont val="Tahoma"/>
            <family val="0"/>
          </rPr>
          <t xml:space="preserve">
</t>
        </r>
      </text>
    </comment>
    <comment ref="F5" authorId="0">
      <text>
        <r>
          <rPr>
            <b/>
            <sz val="8"/>
            <rFont val="Tahoma"/>
            <family val="0"/>
          </rPr>
          <t>Enter total number of similarly sized animals (milking cows, sows, brood cows)</t>
        </r>
        <r>
          <rPr>
            <sz val="8"/>
            <rFont val="Tahoma"/>
            <family val="0"/>
          </rPr>
          <t xml:space="preserve">
</t>
        </r>
      </text>
    </comment>
    <comment ref="F22" authorId="0">
      <text>
        <r>
          <rPr>
            <b/>
            <sz val="8"/>
            <rFont val="Tahoma"/>
            <family val="0"/>
          </rPr>
          <t xml:space="preserve">Not needed for soybeans, dry beans or grass hay
</t>
        </r>
      </text>
    </comment>
    <comment ref="F21" authorId="0">
      <text>
        <r>
          <rPr>
            <b/>
            <sz val="8"/>
            <rFont val="Tahoma"/>
            <family val="0"/>
          </rPr>
          <t>Use drop-down menu</t>
        </r>
      </text>
    </comment>
    <comment ref="F7" authorId="0">
      <text>
        <r>
          <rPr>
            <b/>
            <sz val="8"/>
            <rFont val="Tahoma"/>
            <family val="0"/>
          </rPr>
          <t>Enter total number of similarly sized animals (milking cows, sows, brood cows)</t>
        </r>
        <r>
          <rPr>
            <sz val="8"/>
            <rFont val="Tahoma"/>
            <family val="0"/>
          </rPr>
          <t xml:space="preserve">
</t>
        </r>
      </text>
    </comment>
    <comment ref="F9" authorId="0">
      <text>
        <r>
          <rPr>
            <b/>
            <sz val="8"/>
            <rFont val="Tahoma"/>
            <family val="0"/>
          </rPr>
          <t>Enter total number of similarly sized animals (milking cows, sows, brood cows)</t>
        </r>
        <r>
          <rPr>
            <sz val="8"/>
            <rFont val="Tahoma"/>
            <family val="0"/>
          </rPr>
          <t xml:space="preserve">
</t>
        </r>
      </text>
    </comment>
    <comment ref="F25" authorId="0">
      <text>
        <r>
          <rPr>
            <b/>
            <sz val="8"/>
            <rFont val="Tahoma"/>
            <family val="0"/>
          </rPr>
          <t>Mineral soils</t>
        </r>
        <r>
          <rPr>
            <sz val="8"/>
            <rFont val="Tahoma"/>
            <family val="0"/>
          </rPr>
          <t xml:space="preserve">
</t>
        </r>
      </text>
    </comment>
    <comment ref="F30" authorId="0">
      <text>
        <r>
          <rPr>
            <b/>
            <sz val="8"/>
            <rFont val="Tahoma"/>
            <family val="0"/>
          </rPr>
          <t>Mineral soils</t>
        </r>
        <r>
          <rPr>
            <sz val="8"/>
            <rFont val="Tahoma"/>
            <family val="0"/>
          </rPr>
          <t xml:space="preserve">
</t>
        </r>
      </text>
    </comment>
    <comment ref="F27" authorId="0">
      <text>
        <r>
          <rPr>
            <b/>
            <sz val="8"/>
            <rFont val="Tahoma"/>
            <family val="0"/>
          </rPr>
          <t xml:space="preserve">To convert lbs/Acre to ppm, divide lbs/Acre by 2. </t>
        </r>
        <r>
          <rPr>
            <sz val="8"/>
            <rFont val="Tahoma"/>
            <family val="0"/>
          </rPr>
          <t xml:space="preserve">
</t>
        </r>
      </text>
    </comment>
    <comment ref="F33" authorId="0">
      <text>
        <r>
          <rPr>
            <b/>
            <sz val="8"/>
            <rFont val="Tahoma"/>
            <family val="0"/>
          </rPr>
          <t xml:space="preserve">To convert lbs/Acre to ppm, divide lbs/Acre by 2. </t>
        </r>
        <r>
          <rPr>
            <sz val="8"/>
            <rFont val="Tahoma"/>
            <family val="0"/>
          </rPr>
          <t xml:space="preserve">
</t>
        </r>
      </text>
    </comment>
    <comment ref="B2" authorId="0">
      <text>
        <r>
          <rPr>
            <b/>
            <sz val="8"/>
            <rFont val="Tahoma"/>
            <family val="0"/>
          </rPr>
          <t>Use drop-down menu</t>
        </r>
        <r>
          <rPr>
            <sz val="8"/>
            <rFont val="Tahoma"/>
            <family val="0"/>
          </rPr>
          <t xml:space="preserve">
</t>
        </r>
      </text>
    </comment>
    <comment ref="B3" authorId="0">
      <text>
        <r>
          <rPr>
            <b/>
            <sz val="8"/>
            <rFont val="Tahoma"/>
            <family val="0"/>
          </rPr>
          <t>Use drop-down menu</t>
        </r>
        <r>
          <rPr>
            <sz val="8"/>
            <rFont val="Tahoma"/>
            <family val="0"/>
          </rPr>
          <t xml:space="preserve">
</t>
        </r>
      </text>
    </comment>
    <comment ref="B21" authorId="0">
      <text>
        <r>
          <rPr>
            <b/>
            <sz val="8"/>
            <rFont val="Tahoma"/>
            <family val="0"/>
          </rPr>
          <t>Use drop-down menu</t>
        </r>
        <r>
          <rPr>
            <sz val="8"/>
            <rFont val="Tahoma"/>
            <family val="0"/>
          </rPr>
          <t xml:space="preserve">
</t>
        </r>
      </text>
    </comment>
    <comment ref="B17" authorId="0">
      <text>
        <r>
          <rPr>
            <b/>
            <sz val="8"/>
            <rFont val="Tahoma"/>
            <family val="0"/>
          </rPr>
          <t>Enter the amount of manure applied to this field one year ago. This program assumes that the same kind of manure was applied
If no manure was applied, leave blank.</t>
        </r>
        <r>
          <rPr>
            <sz val="8"/>
            <rFont val="Tahoma"/>
            <family val="0"/>
          </rPr>
          <t xml:space="preserve">
</t>
        </r>
      </text>
    </comment>
    <comment ref="B18" authorId="0">
      <text>
        <r>
          <rPr>
            <b/>
            <sz val="8"/>
            <rFont val="Tahoma"/>
            <family val="0"/>
          </rPr>
          <t>Enter the amount of manure applied to this field two years ago. This program assumes that the same kind of manure was applied
If no manure was applied, leave blank.</t>
        </r>
        <r>
          <rPr>
            <sz val="8"/>
            <rFont val="Tahoma"/>
            <family val="0"/>
          </rPr>
          <t xml:space="preserve">
</t>
        </r>
      </text>
    </comment>
    <comment ref="B19" authorId="0">
      <text>
        <r>
          <rPr>
            <b/>
            <sz val="8"/>
            <rFont val="Tahoma"/>
            <family val="0"/>
          </rPr>
          <t>Enter the amount of manure applied to this field three years ago. This program assumes that the same kind of manure was applied
If no manure was applied, leave blank.</t>
        </r>
        <r>
          <rPr>
            <sz val="8"/>
            <rFont val="Tahoma"/>
            <family val="0"/>
          </rPr>
          <t xml:space="preserve">
</t>
        </r>
      </text>
    </comment>
  </commentList>
</comments>
</file>

<file path=xl/sharedStrings.xml><?xml version="1.0" encoding="utf-8"?>
<sst xmlns="http://schemas.openxmlformats.org/spreadsheetml/2006/main" count="358" uniqueCount="253">
  <si>
    <t>Manure produced each year</t>
  </si>
  <si>
    <t xml:space="preserve">                            </t>
  </si>
  <si>
    <t>Nitrogen</t>
  </si>
  <si>
    <t>Nutrient Requirements</t>
  </si>
  <si>
    <t>Distance, Equipment and Labor Information</t>
  </si>
  <si>
    <t>Extra distance to haul</t>
  </si>
  <si>
    <t>OR</t>
  </si>
  <si>
    <t>Loads per Acre</t>
  </si>
  <si>
    <t>Acres per Load</t>
  </si>
  <si>
    <t>Lbs. Nitrogen</t>
  </si>
  <si>
    <t>Miles</t>
  </si>
  <si>
    <t>nutrient provided</t>
  </si>
  <si>
    <t>n</t>
  </si>
  <si>
    <t xml:space="preserve">   p</t>
  </si>
  <si>
    <t xml:space="preserve">   k</t>
  </si>
  <si>
    <t>n rate&gt;&gt;</t>
  </si>
  <si>
    <t>shortage</t>
  </si>
  <si>
    <t>NA</t>
  </si>
  <si>
    <t>p removal rate&gt;&gt;</t>
  </si>
  <si>
    <t>p 2 yr removal rate&gt;&gt;</t>
  </si>
  <si>
    <t>p 4 yr removal rate&gt;&gt;</t>
  </si>
  <si>
    <t>p 3 yr removal rate</t>
  </si>
  <si>
    <t>p 3 yr removal rate&gt;&gt;</t>
  </si>
  <si>
    <t>CROP</t>
  </si>
  <si>
    <t xml:space="preserve"> YIELD</t>
  </si>
  <si>
    <t>NAME</t>
  </si>
  <si>
    <t>Corn for grain</t>
  </si>
  <si>
    <t>Corn for silage</t>
  </si>
  <si>
    <t>Soybeans</t>
  </si>
  <si>
    <t>Wheat</t>
  </si>
  <si>
    <t>Oats</t>
  </si>
  <si>
    <t>Orchardgrass</t>
  </si>
  <si>
    <t>Bromegrass</t>
  </si>
  <si>
    <t>Clover-grass</t>
  </si>
  <si>
    <t>Sorghum Sudangrass</t>
  </si>
  <si>
    <t xml:space="preserve">Nutrient Purchase Price </t>
  </si>
  <si>
    <t>Crop to be grown</t>
  </si>
  <si>
    <t>Recommended nitrogen</t>
  </si>
  <si>
    <t>Speed of travel on road</t>
  </si>
  <si>
    <t>Per hour labor cost</t>
  </si>
  <si>
    <t>Hours equipment operated per day</t>
  </si>
  <si>
    <t>Daily charges</t>
  </si>
  <si>
    <t>Mileage charge</t>
  </si>
  <si>
    <t>Fuel price</t>
  </si>
  <si>
    <t>Per mile fuel consumption</t>
  </si>
  <si>
    <t>Per hour fuel consumption</t>
  </si>
  <si>
    <t>Equipment idle time</t>
  </si>
  <si>
    <t>Tractor per load</t>
  </si>
  <si>
    <t>Loading time per load</t>
  </si>
  <si>
    <t>Loading equipment hourly cost</t>
  </si>
  <si>
    <t>Sheep</t>
  </si>
  <si>
    <t>Turkey</t>
  </si>
  <si>
    <t>Horse</t>
  </si>
  <si>
    <t>Manure Haul Input</t>
  </si>
  <si>
    <t>Calculate number of animal units</t>
  </si>
  <si>
    <t>Animal Type</t>
  </si>
  <si>
    <t>Manure Production</t>
  </si>
  <si>
    <t>Percent Solids</t>
  </si>
  <si>
    <t>Nutrient Content</t>
  </si>
  <si>
    <t>Tons/yr</t>
  </si>
  <si>
    <t>Gal/yr</t>
  </si>
  <si>
    <t>N</t>
  </si>
  <si>
    <t>lb/ton</t>
  </si>
  <si>
    <t>lb/1,000 gal</t>
  </si>
  <si>
    <t>Dairy</t>
  </si>
  <si>
    <t>Beef</t>
  </si>
  <si>
    <t>Veal</t>
  </si>
  <si>
    <t>Growing pig</t>
  </si>
  <si>
    <t>Mature hog</t>
  </si>
  <si>
    <t>Sow &amp; litter</t>
  </si>
  <si>
    <t>Goat</t>
  </si>
  <si>
    <t>Layers</t>
  </si>
  <si>
    <t>Broilers</t>
  </si>
  <si>
    <t>Manure Information</t>
  </si>
  <si>
    <t>Manure Analysis with lab results</t>
  </si>
  <si>
    <t>Manure Analysis with no lab results</t>
  </si>
  <si>
    <t>Specie type</t>
  </si>
  <si>
    <t>Number of animal units</t>
  </si>
  <si>
    <t>Total nitrogen</t>
  </si>
  <si>
    <t>Ammonical nitrogen</t>
  </si>
  <si>
    <t>Available nitrogen</t>
  </si>
  <si>
    <t>Nutrient value of manure</t>
  </si>
  <si>
    <t>Manure needed to supply:</t>
  </si>
  <si>
    <t>Transport cost per:</t>
  </si>
  <si>
    <t>Additional time</t>
  </si>
  <si>
    <t>Additional non-labor cost per:</t>
  </si>
  <si>
    <t>Comparative analysis</t>
  </si>
  <si>
    <t>No manure application</t>
  </si>
  <si>
    <t>Manure for nitrogen</t>
  </si>
  <si>
    <t>One way total miles break even compared to commercial fertilizer</t>
  </si>
  <si>
    <t>Acres needed 1 year</t>
  </si>
  <si>
    <t>To meet nitrogen requirement</t>
  </si>
  <si>
    <t>thousand gallons</t>
  </si>
  <si>
    <t>ton</t>
  </si>
  <si>
    <t>size of tank</t>
  </si>
  <si>
    <t>size of spreader</t>
  </si>
  <si>
    <t>tanker lease</t>
  </si>
  <si>
    <t>spreader lease</t>
  </si>
  <si>
    <t>tanker per load</t>
  </si>
  <si>
    <t>spreader per load</t>
  </si>
  <si>
    <t>per thousand gallons</t>
  </si>
  <si>
    <t>per ton</t>
  </si>
  <si>
    <t>savings per thousand gallons</t>
  </si>
  <si>
    <t>savings per ton</t>
  </si>
  <si>
    <t>gallons</t>
  </si>
  <si>
    <t>lbs. per thousand gallons</t>
  </si>
  <si>
    <t>lbs. per ton</t>
  </si>
  <si>
    <t>thousand gallons per acre</t>
  </si>
  <si>
    <t>tons per acre</t>
  </si>
  <si>
    <t>bushels per acre</t>
  </si>
  <si>
    <t>dollars per pound</t>
  </si>
  <si>
    <t>dollars per acre</t>
  </si>
  <si>
    <t>miles one way</t>
  </si>
  <si>
    <t>miles per hour</t>
  </si>
  <si>
    <t>dollars per hour</t>
  </si>
  <si>
    <t xml:space="preserve">hours  </t>
  </si>
  <si>
    <t>dollars per day</t>
  </si>
  <si>
    <t>dollars per mile</t>
  </si>
  <si>
    <t>dollars per gallon</t>
  </si>
  <si>
    <t>miles per gallon</t>
  </si>
  <si>
    <t>gallons per mile</t>
  </si>
  <si>
    <t>per day</t>
  </si>
  <si>
    <t>hours per load</t>
  </si>
  <si>
    <t>minutes per load</t>
  </si>
  <si>
    <t>per load</t>
  </si>
  <si>
    <t>for farm</t>
  </si>
  <si>
    <t>load</t>
  </si>
  <si>
    <t>hour</t>
  </si>
  <si>
    <t>mile</t>
  </si>
  <si>
    <t>whole farm</t>
  </si>
  <si>
    <t>Manure Haul Results</t>
  </si>
  <si>
    <t>lbs. per acre</t>
  </si>
  <si>
    <t>total cost per acre</t>
  </si>
  <si>
    <t>savings per acre</t>
  </si>
  <si>
    <t>savings per load</t>
  </si>
  <si>
    <t>savings per hour</t>
  </si>
  <si>
    <t>savings whole farm</t>
  </si>
  <si>
    <t>NH4-N</t>
  </si>
  <si>
    <t>lb/Ton</t>
  </si>
  <si>
    <t>lb/1,000gal</t>
  </si>
  <si>
    <t>Min&gt; Fac.</t>
  </si>
  <si>
    <t>Available N</t>
  </si>
  <si>
    <t>Manure History</t>
  </si>
  <si>
    <t>Manure applied here 1 year ago?</t>
  </si>
  <si>
    <t>Manure applied here 2 years ago?</t>
  </si>
  <si>
    <t>Manure applied here 3 years ago?</t>
  </si>
  <si>
    <t>Animal Units</t>
  </si>
  <si>
    <r>
      <t>P</t>
    </r>
    <r>
      <rPr>
        <vertAlign val="subscript"/>
        <sz val="10"/>
        <rFont val="Arial"/>
        <family val="2"/>
      </rPr>
      <t>2</t>
    </r>
    <r>
      <rPr>
        <sz val="10"/>
        <rFont val="Arial"/>
        <family val="0"/>
      </rPr>
      <t>O</t>
    </r>
    <r>
      <rPr>
        <vertAlign val="subscript"/>
        <sz val="10"/>
        <rFont val="Arial"/>
        <family val="2"/>
      </rPr>
      <t>5</t>
    </r>
  </si>
  <si>
    <r>
      <t>K</t>
    </r>
    <r>
      <rPr>
        <vertAlign val="subscript"/>
        <sz val="10"/>
        <rFont val="Arial"/>
        <family val="2"/>
      </rPr>
      <t>2</t>
    </r>
    <r>
      <rPr>
        <sz val="10"/>
        <rFont val="Arial"/>
        <family val="0"/>
      </rPr>
      <t>O</t>
    </r>
  </si>
  <si>
    <r>
      <t>P</t>
    </r>
    <r>
      <rPr>
        <vertAlign val="subscript"/>
        <sz val="10"/>
        <rFont val="Arial"/>
        <family val="2"/>
      </rPr>
      <t>2</t>
    </r>
    <r>
      <rPr>
        <sz val="10"/>
        <rFont val="Arial"/>
        <family val="0"/>
      </rPr>
      <t>O</t>
    </r>
    <r>
      <rPr>
        <vertAlign val="subscript"/>
        <sz val="10"/>
        <rFont val="Arial"/>
        <family val="2"/>
      </rPr>
      <t>5</t>
    </r>
    <r>
      <rPr>
        <sz val="10"/>
        <rFont val="Arial"/>
        <family val="0"/>
      </rPr>
      <t xml:space="preserve"> Removal</t>
    </r>
  </si>
  <si>
    <r>
      <t>Recommended P</t>
    </r>
    <r>
      <rPr>
        <vertAlign val="subscript"/>
        <sz val="10"/>
        <rFont val="Arial"/>
        <family val="2"/>
      </rPr>
      <t>2</t>
    </r>
    <r>
      <rPr>
        <sz val="10"/>
        <rFont val="Arial"/>
        <family val="0"/>
      </rPr>
      <t>O</t>
    </r>
    <r>
      <rPr>
        <vertAlign val="subscript"/>
        <sz val="10"/>
        <rFont val="Arial"/>
        <family val="2"/>
      </rPr>
      <t>5</t>
    </r>
    <r>
      <rPr>
        <sz val="10"/>
        <rFont val="Arial"/>
        <family val="0"/>
      </rPr>
      <t xml:space="preserve"> </t>
    </r>
  </si>
  <si>
    <r>
      <t>Recommended K</t>
    </r>
    <r>
      <rPr>
        <vertAlign val="subscript"/>
        <sz val="10"/>
        <rFont val="Arial"/>
        <family val="2"/>
      </rPr>
      <t>2</t>
    </r>
    <r>
      <rPr>
        <sz val="10"/>
        <rFont val="Arial"/>
        <family val="0"/>
      </rPr>
      <t>O</t>
    </r>
  </si>
  <si>
    <t>mininutes per load</t>
  </si>
  <si>
    <t>hours</t>
  </si>
  <si>
    <t>Liquid</t>
  </si>
  <si>
    <t>Solid</t>
  </si>
  <si>
    <t>Sugar Beets</t>
  </si>
  <si>
    <t>Potatoes</t>
  </si>
  <si>
    <t>Dry Beans</t>
  </si>
  <si>
    <t>N Credit</t>
  </si>
  <si>
    <t>Nitrogen from previous crop</t>
  </si>
  <si>
    <t>Calculate N Credit</t>
  </si>
  <si>
    <t>Previous Crop</t>
  </si>
  <si>
    <t xml:space="preserve">% Stand </t>
  </si>
  <si>
    <t>Alfalfa, established</t>
  </si>
  <si>
    <t>Alfalfa, seeding</t>
  </si>
  <si>
    <t>Clover, established</t>
  </si>
  <si>
    <t>Clover, seeding</t>
  </si>
  <si>
    <t>Trefoil, established</t>
  </si>
  <si>
    <t>Grass Hay</t>
  </si>
  <si>
    <t>Barley + Legume</t>
  </si>
  <si>
    <t>Oats + Legume</t>
  </si>
  <si>
    <t>Wheat + Legume</t>
  </si>
  <si>
    <t xml:space="preserve">No. of 1st group animals </t>
  </si>
  <si>
    <t xml:space="preserve">No. of 2nd group animals </t>
  </si>
  <si>
    <t xml:space="preserve">No. of 3rd group animals </t>
  </si>
  <si>
    <t>Ave. weight 1st group</t>
  </si>
  <si>
    <t>Ave. weight 2nd group</t>
  </si>
  <si>
    <t>Ave. weight 3rd group</t>
  </si>
  <si>
    <t>Yield potential</t>
  </si>
  <si>
    <t>Intended Crop</t>
  </si>
  <si>
    <t xml:space="preserve"> Fertilizer Spreading Cost </t>
  </si>
  <si>
    <t>Soil CEC</t>
  </si>
  <si>
    <t>pot'l</t>
  </si>
  <si>
    <t>P CL</t>
  </si>
  <si>
    <t>Alfalfa</t>
  </si>
  <si>
    <t>PBU</t>
  </si>
  <si>
    <t>PM</t>
  </si>
  <si>
    <t>PDD</t>
  </si>
  <si>
    <t>PCR</t>
  </si>
  <si>
    <t>PPL</t>
  </si>
  <si>
    <t>PDL</t>
  </si>
  <si>
    <r>
      <t>Recommended P</t>
    </r>
    <r>
      <rPr>
        <vertAlign val="subscript"/>
        <sz val="10"/>
        <rFont val="Arial"/>
        <family val="2"/>
      </rPr>
      <t>2</t>
    </r>
    <r>
      <rPr>
        <sz val="10"/>
        <rFont val="Arial"/>
        <family val="0"/>
      </rPr>
      <t>O</t>
    </r>
    <r>
      <rPr>
        <vertAlign val="subscript"/>
        <sz val="10"/>
        <rFont val="Arial"/>
        <family val="2"/>
      </rPr>
      <t>5</t>
    </r>
  </si>
  <si>
    <r>
      <t>Calculate Recommended P</t>
    </r>
    <r>
      <rPr>
        <b/>
        <vertAlign val="subscript"/>
        <sz val="10"/>
        <rFont val="Arial"/>
        <family val="2"/>
      </rPr>
      <t>2</t>
    </r>
    <r>
      <rPr>
        <b/>
        <sz val="10"/>
        <rFont val="Arial"/>
        <family val="2"/>
      </rPr>
      <t>O</t>
    </r>
    <r>
      <rPr>
        <b/>
        <vertAlign val="subscript"/>
        <sz val="10"/>
        <rFont val="Arial"/>
        <family val="2"/>
      </rPr>
      <t>5</t>
    </r>
  </si>
  <si>
    <r>
      <t>Calculate Recommended K</t>
    </r>
    <r>
      <rPr>
        <b/>
        <vertAlign val="subscript"/>
        <sz val="10"/>
        <rFont val="Arial"/>
        <family val="2"/>
      </rPr>
      <t>2</t>
    </r>
    <r>
      <rPr>
        <b/>
        <sz val="10"/>
        <rFont val="Arial"/>
        <family val="2"/>
      </rPr>
      <t>O</t>
    </r>
  </si>
  <si>
    <t>Soil test level (ppm)</t>
  </si>
  <si>
    <t>No N Credit</t>
  </si>
  <si>
    <t>Crops</t>
  </si>
  <si>
    <t>P MAX</t>
  </si>
  <si>
    <t>K CL</t>
  </si>
  <si>
    <t>KCR</t>
  </si>
  <si>
    <t>KPL</t>
  </si>
  <si>
    <t>KDL</t>
  </si>
  <si>
    <t>KBU</t>
  </si>
  <si>
    <t>KM</t>
  </si>
  <si>
    <t>KDD</t>
  </si>
  <si>
    <t>K MAX</t>
  </si>
  <si>
    <r>
      <t>P</t>
    </r>
    <r>
      <rPr>
        <vertAlign val="subscript"/>
        <sz val="10"/>
        <rFont val="Arial"/>
        <family val="2"/>
      </rPr>
      <t>2</t>
    </r>
    <r>
      <rPr>
        <sz val="10"/>
        <rFont val="Arial"/>
        <family val="2"/>
      </rPr>
      <t>O</t>
    </r>
    <r>
      <rPr>
        <vertAlign val="subscript"/>
        <sz val="10"/>
        <rFont val="Arial"/>
        <family val="2"/>
      </rPr>
      <t>5</t>
    </r>
    <r>
      <rPr>
        <sz val="10"/>
        <rFont val="Arial"/>
        <family val="2"/>
      </rPr>
      <t xml:space="preserve"> removal</t>
    </r>
  </si>
  <si>
    <r>
      <t>P</t>
    </r>
    <r>
      <rPr>
        <vertAlign val="subscript"/>
        <sz val="10"/>
        <rFont val="Arial"/>
        <family val="2"/>
      </rPr>
      <t>2</t>
    </r>
    <r>
      <rPr>
        <sz val="10"/>
        <rFont val="Arial"/>
        <family val="2"/>
      </rPr>
      <t>O</t>
    </r>
    <r>
      <rPr>
        <vertAlign val="subscript"/>
        <sz val="10"/>
        <rFont val="Arial"/>
        <family val="2"/>
      </rPr>
      <t>5</t>
    </r>
    <r>
      <rPr>
        <sz val="10"/>
        <rFont val="Arial"/>
        <family val="2"/>
      </rPr>
      <t xml:space="preserve"> 2-year removal</t>
    </r>
  </si>
  <si>
    <r>
      <t>P</t>
    </r>
    <r>
      <rPr>
        <vertAlign val="subscript"/>
        <sz val="10"/>
        <rFont val="Arial"/>
        <family val="2"/>
      </rPr>
      <t>2</t>
    </r>
    <r>
      <rPr>
        <sz val="10"/>
        <rFont val="Arial"/>
        <family val="2"/>
      </rPr>
      <t>O</t>
    </r>
    <r>
      <rPr>
        <vertAlign val="subscript"/>
        <sz val="10"/>
        <rFont val="Arial"/>
        <family val="2"/>
      </rPr>
      <t>5</t>
    </r>
    <r>
      <rPr>
        <sz val="10"/>
        <rFont val="Arial"/>
        <family val="2"/>
      </rPr>
      <t xml:space="preserve"> 3-year removal</t>
    </r>
  </si>
  <si>
    <r>
      <t>P</t>
    </r>
    <r>
      <rPr>
        <vertAlign val="subscript"/>
        <sz val="10"/>
        <rFont val="Arial"/>
        <family val="2"/>
      </rPr>
      <t>2</t>
    </r>
    <r>
      <rPr>
        <sz val="10"/>
        <rFont val="Arial"/>
        <family val="2"/>
      </rPr>
      <t>0</t>
    </r>
    <r>
      <rPr>
        <vertAlign val="subscript"/>
        <sz val="10"/>
        <rFont val="Arial"/>
        <family val="2"/>
      </rPr>
      <t>5</t>
    </r>
    <r>
      <rPr>
        <sz val="10"/>
        <rFont val="Arial"/>
        <family val="2"/>
      </rPr>
      <t xml:space="preserve"> 4-year removal</t>
    </r>
  </si>
  <si>
    <r>
      <t>Lbs. P</t>
    </r>
    <r>
      <rPr>
        <vertAlign val="subscript"/>
        <sz val="10"/>
        <rFont val="Arial"/>
        <family val="2"/>
      </rPr>
      <t>2</t>
    </r>
    <r>
      <rPr>
        <sz val="10"/>
        <rFont val="Arial"/>
        <family val="2"/>
      </rPr>
      <t>O</t>
    </r>
    <r>
      <rPr>
        <vertAlign val="subscript"/>
        <sz val="10"/>
        <rFont val="Arial"/>
        <family val="2"/>
      </rPr>
      <t>5</t>
    </r>
  </si>
  <si>
    <r>
      <t>Lbs. K</t>
    </r>
    <r>
      <rPr>
        <vertAlign val="subscript"/>
        <sz val="10"/>
        <rFont val="Arial"/>
        <family val="2"/>
      </rPr>
      <t>2</t>
    </r>
    <r>
      <rPr>
        <sz val="10"/>
        <rFont val="Arial"/>
        <family val="2"/>
      </rPr>
      <t>O</t>
    </r>
  </si>
  <si>
    <r>
      <t>Manure for P</t>
    </r>
    <r>
      <rPr>
        <b/>
        <vertAlign val="subscript"/>
        <sz val="10"/>
        <rFont val="Arial"/>
        <family val="2"/>
      </rPr>
      <t>2</t>
    </r>
    <r>
      <rPr>
        <b/>
        <sz val="10"/>
        <rFont val="Arial"/>
        <family val="2"/>
      </rPr>
      <t>O</t>
    </r>
    <r>
      <rPr>
        <b/>
        <vertAlign val="subscript"/>
        <sz val="10"/>
        <rFont val="Arial"/>
        <family val="2"/>
      </rPr>
      <t>5</t>
    </r>
    <r>
      <rPr>
        <b/>
        <sz val="10"/>
        <rFont val="Arial"/>
        <family val="2"/>
      </rPr>
      <t xml:space="preserve"> Removal</t>
    </r>
  </si>
  <si>
    <r>
      <t>Manure for P</t>
    </r>
    <r>
      <rPr>
        <b/>
        <vertAlign val="subscript"/>
        <sz val="10"/>
        <rFont val="Arial"/>
        <family val="2"/>
      </rPr>
      <t>2</t>
    </r>
    <r>
      <rPr>
        <b/>
        <sz val="10"/>
        <rFont val="Arial"/>
        <family val="2"/>
      </rPr>
      <t>O</t>
    </r>
    <r>
      <rPr>
        <b/>
        <vertAlign val="subscript"/>
        <sz val="10"/>
        <rFont val="Arial"/>
        <family val="2"/>
      </rPr>
      <t>5</t>
    </r>
    <r>
      <rPr>
        <b/>
        <sz val="10"/>
        <rFont val="Arial"/>
        <family val="2"/>
      </rPr>
      <t xml:space="preserve"> 2 Year Removal</t>
    </r>
  </si>
  <si>
    <r>
      <t>Manure for P</t>
    </r>
    <r>
      <rPr>
        <b/>
        <vertAlign val="subscript"/>
        <sz val="10"/>
        <rFont val="Arial"/>
        <family val="2"/>
      </rPr>
      <t>2</t>
    </r>
    <r>
      <rPr>
        <b/>
        <sz val="10"/>
        <rFont val="Arial"/>
        <family val="2"/>
      </rPr>
      <t>O</t>
    </r>
    <r>
      <rPr>
        <b/>
        <vertAlign val="subscript"/>
        <sz val="10"/>
        <rFont val="Arial"/>
        <family val="2"/>
      </rPr>
      <t>5</t>
    </r>
    <r>
      <rPr>
        <b/>
        <sz val="10"/>
        <rFont val="Arial"/>
        <family val="2"/>
      </rPr>
      <t xml:space="preserve"> 3 Year Removal</t>
    </r>
  </si>
  <si>
    <r>
      <t>Manure for P</t>
    </r>
    <r>
      <rPr>
        <b/>
        <vertAlign val="subscript"/>
        <sz val="10"/>
        <rFont val="Arial"/>
        <family val="2"/>
      </rPr>
      <t>2</t>
    </r>
    <r>
      <rPr>
        <b/>
        <sz val="10"/>
        <rFont val="Arial"/>
        <family val="2"/>
      </rPr>
      <t>O</t>
    </r>
    <r>
      <rPr>
        <b/>
        <vertAlign val="subscript"/>
        <sz val="10"/>
        <rFont val="Arial"/>
        <family val="2"/>
      </rPr>
      <t>5</t>
    </r>
    <r>
      <rPr>
        <b/>
        <sz val="10"/>
        <rFont val="Arial"/>
        <family val="2"/>
      </rPr>
      <t xml:space="preserve"> 4 Year Removal</t>
    </r>
  </si>
  <si>
    <t xml:space="preserve">Manure Type </t>
  </si>
  <si>
    <t>Bob Battel, MSU Extension Educator, Farm Management</t>
  </si>
  <si>
    <t>Acknowledgements:</t>
  </si>
  <si>
    <t xml:space="preserve">Manure Haul - How far can I afford to haul manure? </t>
  </si>
  <si>
    <t>January, 2006</t>
  </si>
  <si>
    <r>
      <t>P</t>
    </r>
    <r>
      <rPr>
        <vertAlign val="subscript"/>
        <sz val="10"/>
        <rFont val="Arial"/>
        <family val="0"/>
      </rPr>
      <t>2</t>
    </r>
    <r>
      <rPr>
        <sz val="10"/>
        <rFont val="Arial"/>
        <family val="0"/>
      </rPr>
      <t>O</t>
    </r>
    <r>
      <rPr>
        <vertAlign val="subscript"/>
        <sz val="10"/>
        <rFont val="Arial"/>
        <family val="0"/>
      </rPr>
      <t>5</t>
    </r>
  </si>
  <si>
    <r>
      <t>K</t>
    </r>
    <r>
      <rPr>
        <vertAlign val="subscript"/>
        <sz val="10"/>
        <rFont val="Arial"/>
        <family val="0"/>
      </rPr>
      <t>2</t>
    </r>
    <r>
      <rPr>
        <sz val="10"/>
        <rFont val="Arial"/>
        <family val="0"/>
      </rPr>
      <t>0</t>
    </r>
  </si>
  <si>
    <t>Manure Information:</t>
  </si>
  <si>
    <t xml:space="preserve">Complete the "Calculate Animal Units" set of cells to the right, entering the numbers and average weights of various animal groups on your farm. The spreadsheet will calculate the number of animal units. It is OK to leave areas blank if you have fewer than three animal groups. </t>
  </si>
  <si>
    <t xml:space="preserve">If manure has been spread on this field in any if the past three years, enter the amount of manure spread that year. </t>
  </si>
  <si>
    <t>Go to the cells to the right. If a crop that would generate a nitrogen credit was grown in this field last year, enter that crop, using the Drop Down Menu. Also, for crops other than soybeans, dry beans and grass hay, enter the percent stand. The spreadsheet will calculate a nitrogen credit.</t>
  </si>
  <si>
    <t>Nutrient Requirements:</t>
  </si>
  <si>
    <t>Nutrient Purchase Price:</t>
  </si>
  <si>
    <t>Enter any per acre spreading costs if commercial fertilizers were to be spread.</t>
  </si>
  <si>
    <t>N Credit:</t>
  </si>
  <si>
    <t>Manure History:</t>
  </si>
  <si>
    <t>Manure Analysis with lab results and Manure Analysis with no lab results:</t>
  </si>
  <si>
    <t>Distance, Equipment and Labor Information:</t>
  </si>
  <si>
    <t xml:space="preserve">Click on the "Haul Output" tab for break even distances for hauling manure and a comparative analysis. </t>
  </si>
  <si>
    <t xml:space="preserve">Extra Distance to Haul: Enter the distance above what you would normally haul manure. </t>
  </si>
  <si>
    <t>Choose from the Drop Down Menu the livestock specie on your farm.</t>
  </si>
  <si>
    <t>Using the Drop Down Menu, enter the crop to be grown.</t>
  </si>
  <si>
    <t>Enter the Yield Potential.</t>
  </si>
  <si>
    <t>Go to the cells to the right. Enter the soil test results (in ppm) for phosphorus. If soil test results are in pounds per acre, divide the results by 2 to convert to ppm.</t>
  </si>
  <si>
    <t>Enter the soil test results (in ppm) for potassium. If soil test results are in pounds per acre, divide the results by 2 to convert to ppm.</t>
  </si>
  <si>
    <r>
      <t>Enter your per pound cost for N, P</t>
    </r>
    <r>
      <rPr>
        <vertAlign val="subscript"/>
        <sz val="10"/>
        <rFont val="Arial"/>
        <family val="2"/>
      </rPr>
      <t>2</t>
    </r>
    <r>
      <rPr>
        <sz val="10"/>
        <rFont val="Arial"/>
        <family val="0"/>
      </rPr>
      <t>O</t>
    </r>
    <r>
      <rPr>
        <vertAlign val="subscript"/>
        <sz val="10"/>
        <rFont val="Arial"/>
        <family val="2"/>
      </rPr>
      <t>5</t>
    </r>
    <r>
      <rPr>
        <sz val="10"/>
        <rFont val="Arial"/>
        <family val="0"/>
      </rPr>
      <t xml:space="preserve"> and K</t>
    </r>
    <r>
      <rPr>
        <vertAlign val="subscript"/>
        <sz val="10"/>
        <rFont val="Arial"/>
        <family val="2"/>
      </rPr>
      <t>2</t>
    </r>
    <r>
      <rPr>
        <sz val="10"/>
        <rFont val="Arial"/>
        <family val="0"/>
      </rPr>
      <t>O.</t>
    </r>
  </si>
  <si>
    <t xml:space="preserve">The "Haul Input" sheet is where your farm's data should be entered. Enter values in the dark green colored cells. The yellow colored cells are calculated values based on your input. </t>
  </si>
  <si>
    <t>Hourly Charge</t>
  </si>
  <si>
    <t>Equipment charges</t>
  </si>
  <si>
    <t>Choose either "per mile" fuel consumption or "per hour" fuel consumption.</t>
  </si>
  <si>
    <t>Choose either "Hourly Charge" or "Daily Charge" for tractor/tanker.</t>
  </si>
  <si>
    <t xml:space="preserve">This spreadsheet is based on earlier spreadsheets by Roger Betz, MSU Extension Educator, Farm Management, South West Michigan; Dr. Howard Person, MSU Extension Specialist Agricultural Engineering (retired); and Dr. Maurice Vitosh, MSU Extension Specialist, Crop and Soil Sciences (retired). The fertilizer recommendations are in Build Up/Maintenance/Draw Down format. That part of the spreadsheet is based on a spreadsheet developed by Mike Staton, MSU Extension Educator, Field Crops, Van Buren County. </t>
  </si>
  <si>
    <t>Enter the CEC from soil test results.</t>
  </si>
  <si>
    <t>The spreadsheet will calculate a fertilizer recommendation.</t>
  </si>
  <si>
    <t>Choose from the Drop Down Menu using either "Liquid" or "Solid" manure.</t>
  </si>
  <si>
    <t>You can either enter your farm's manure analysis, or use default values. If you have laboratory result for manure analysis, enter them in the "Manure Analysis with lab results" cells. If you leave these cells blank, the spreadsheet will generate default values.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</si>
</sst>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quot;$&quot;#,##0.00"/>
    <numFmt numFmtId="166" formatCode="0.000"/>
    <numFmt numFmtId="167" formatCode="0.0"/>
    <numFmt numFmtId="168" formatCode="&quot;$&quot;#,##0"/>
    <numFmt numFmtId="169" formatCode="0.00000"/>
    <numFmt numFmtId="170" formatCode="[$-409]dddd\,\ mmmm\ dd\,\ yyyy"/>
    <numFmt numFmtId="171" formatCode="[$-409]h:mm:ss\ AM/PM"/>
  </numFmts>
  <fonts count="46">
    <font>
      <sz val="10"/>
      <name val="Arial"/>
      <family val="0"/>
    </font>
    <font>
      <sz val="10"/>
      <name val="Courier"/>
      <family val="0"/>
    </font>
    <font>
      <b/>
      <sz val="14"/>
      <name val="Arial"/>
      <family val="2"/>
    </font>
    <font>
      <b/>
      <sz val="10"/>
      <name val="Arial"/>
      <family val="2"/>
    </font>
    <font>
      <vertAlign val="subscript"/>
      <sz val="10"/>
      <name val="Arial"/>
      <family val="2"/>
    </font>
    <font>
      <sz val="8"/>
      <name val="Tahoma"/>
      <family val="0"/>
    </font>
    <font>
      <b/>
      <sz val="8"/>
      <name val="Tahoma"/>
      <family val="0"/>
    </font>
    <font>
      <b/>
      <vertAlign val="subscript"/>
      <sz val="10"/>
      <name val="Arial"/>
      <family val="2"/>
    </font>
    <font>
      <b/>
      <sz val="12"/>
      <name val="Arial"/>
      <family val="2"/>
    </font>
    <font>
      <sz val="20"/>
      <name val="Arial"/>
      <family val="0"/>
    </font>
    <font>
      <b/>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50"/>
        <bgColor indexed="64"/>
      </patternFill>
    </fill>
    <fill>
      <patternFill patternType="solid">
        <fgColor indexed="47"/>
        <bgColor indexed="64"/>
      </patternFill>
    </fill>
    <fill>
      <patternFill patternType="solid">
        <fgColor indexed="4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164"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1">
    <xf numFmtId="0" fontId="0" fillId="0" borderId="0" xfId="0" applyAlignment="1">
      <alignment/>
    </xf>
    <xf numFmtId="164" fontId="1" fillId="0" borderId="0" xfId="55" applyFont="1" applyAlignment="1" applyProtection="1">
      <alignment horizontal="left"/>
      <protection/>
    </xf>
    <xf numFmtId="164" fontId="1" fillId="0" borderId="0" xfId="55" applyFont="1">
      <alignment/>
      <protection/>
    </xf>
    <xf numFmtId="3" fontId="0" fillId="33" borderId="10" xfId="0" applyNumberFormat="1" applyFill="1" applyBorder="1" applyAlignment="1">
      <alignment/>
    </xf>
    <xf numFmtId="0" fontId="0" fillId="34" borderId="0" xfId="0" applyFill="1" applyAlignment="1">
      <alignment/>
    </xf>
    <xf numFmtId="1" fontId="0" fillId="33" borderId="0" xfId="0" applyNumberFormat="1" applyFill="1" applyAlignment="1">
      <alignment/>
    </xf>
    <xf numFmtId="1" fontId="0" fillId="33" borderId="11" xfId="0" applyNumberFormat="1" applyFont="1" applyFill="1" applyBorder="1" applyAlignment="1">
      <alignment/>
    </xf>
    <xf numFmtId="0" fontId="0" fillId="33" borderId="12" xfId="0" applyFill="1" applyBorder="1" applyAlignment="1">
      <alignment/>
    </xf>
    <xf numFmtId="0" fontId="0" fillId="33" borderId="11" xfId="0" applyFill="1" applyBorder="1" applyAlignment="1">
      <alignment/>
    </xf>
    <xf numFmtId="0" fontId="0" fillId="33" borderId="13" xfId="0" applyFont="1" applyFill="1" applyBorder="1" applyAlignment="1">
      <alignment/>
    </xf>
    <xf numFmtId="1" fontId="0" fillId="33" borderId="11" xfId="0" applyNumberFormat="1" applyFill="1" applyBorder="1" applyAlignment="1">
      <alignment/>
    </xf>
    <xf numFmtId="1" fontId="0" fillId="33" borderId="0" xfId="0" applyNumberFormat="1" applyFill="1" applyBorder="1" applyAlignment="1">
      <alignment/>
    </xf>
    <xf numFmtId="1" fontId="0" fillId="33" borderId="10" xfId="0" applyNumberFormat="1" applyFill="1" applyBorder="1" applyAlignment="1">
      <alignment/>
    </xf>
    <xf numFmtId="0" fontId="0" fillId="0" borderId="0" xfId="0" applyAlignment="1">
      <alignment/>
    </xf>
    <xf numFmtId="0" fontId="0" fillId="35" borderId="14" xfId="0" applyFill="1" applyBorder="1" applyAlignment="1">
      <alignment/>
    </xf>
    <xf numFmtId="0" fontId="0" fillId="35" borderId="15" xfId="0" applyFill="1" applyBorder="1" applyAlignment="1">
      <alignment/>
    </xf>
    <xf numFmtId="0" fontId="0" fillId="35" borderId="15" xfId="0" applyFill="1" applyBorder="1" applyAlignment="1" applyProtection="1">
      <alignment/>
      <protection/>
    </xf>
    <xf numFmtId="0" fontId="0" fillId="35" borderId="16" xfId="0" applyFill="1" applyBorder="1" applyAlignment="1" applyProtection="1">
      <alignment/>
      <protection/>
    </xf>
    <xf numFmtId="0" fontId="0" fillId="35" borderId="16" xfId="0" applyFill="1" applyBorder="1" applyAlignment="1">
      <alignment/>
    </xf>
    <xf numFmtId="0" fontId="3" fillId="35" borderId="17" xfId="0" applyFont="1" applyFill="1" applyBorder="1" applyAlignment="1">
      <alignment horizontal="center"/>
    </xf>
    <xf numFmtId="0" fontId="0" fillId="35" borderId="18" xfId="0" applyFill="1" applyBorder="1" applyAlignment="1">
      <alignment/>
    </xf>
    <xf numFmtId="0" fontId="0" fillId="35" borderId="14" xfId="0" applyFill="1" applyBorder="1" applyAlignment="1" applyProtection="1">
      <alignment/>
      <protection/>
    </xf>
    <xf numFmtId="0" fontId="3" fillId="35" borderId="19" xfId="0" applyFont="1" applyFill="1" applyBorder="1" applyAlignment="1">
      <alignment horizontal="right" vertical="center" wrapText="1"/>
    </xf>
    <xf numFmtId="0" fontId="0" fillId="35" borderId="10" xfId="0" applyFill="1" applyBorder="1" applyAlignment="1">
      <alignment/>
    </xf>
    <xf numFmtId="0" fontId="0" fillId="35" borderId="16" xfId="0" applyFont="1" applyFill="1" applyBorder="1" applyAlignment="1">
      <alignment horizontal="left" vertical="center" wrapText="1"/>
    </xf>
    <xf numFmtId="0" fontId="0" fillId="35" borderId="16" xfId="0" applyFont="1" applyFill="1" applyBorder="1" applyAlignment="1">
      <alignment/>
    </xf>
    <xf numFmtId="0" fontId="3" fillId="35" borderId="19" xfId="0" applyFont="1" applyFill="1" applyBorder="1" applyAlignment="1" applyProtection="1">
      <alignment/>
      <protection/>
    </xf>
    <xf numFmtId="0" fontId="0" fillId="35" borderId="13" xfId="0" applyFill="1" applyBorder="1" applyAlignment="1">
      <alignment/>
    </xf>
    <xf numFmtId="0" fontId="0" fillId="35" borderId="20" xfId="0" applyFill="1" applyBorder="1" applyAlignment="1">
      <alignment/>
    </xf>
    <xf numFmtId="0" fontId="3" fillId="35" borderId="19" xfId="0" applyFont="1" applyFill="1" applyBorder="1" applyAlignment="1">
      <alignment/>
    </xf>
    <xf numFmtId="0" fontId="0" fillId="35" borderId="12" xfId="0" applyFill="1" applyBorder="1" applyAlignment="1">
      <alignment/>
    </xf>
    <xf numFmtId="0" fontId="0" fillId="34" borderId="0" xfId="0" applyFont="1" applyFill="1" applyAlignment="1">
      <alignment/>
    </xf>
    <xf numFmtId="0" fontId="0" fillId="0" borderId="0" xfId="0" applyFont="1" applyAlignment="1">
      <alignment/>
    </xf>
    <xf numFmtId="0" fontId="0" fillId="0" borderId="0" xfId="0" applyFont="1" applyFill="1" applyAlignment="1">
      <alignment/>
    </xf>
    <xf numFmtId="0" fontId="0" fillId="36" borderId="20" xfId="0" applyFill="1" applyBorder="1" applyAlignment="1" applyProtection="1">
      <alignment horizontal="right"/>
      <protection locked="0"/>
    </xf>
    <xf numFmtId="0" fontId="0" fillId="36" borderId="0" xfId="0" applyFont="1" applyFill="1" applyBorder="1" applyAlignment="1" applyProtection="1">
      <alignment horizontal="right"/>
      <protection locked="0"/>
    </xf>
    <xf numFmtId="0" fontId="0" fillId="36" borderId="0" xfId="0" applyFill="1" applyAlignment="1" applyProtection="1">
      <alignment/>
      <protection locked="0"/>
    </xf>
    <xf numFmtId="0" fontId="0" fillId="36" borderId="14" xfId="0" applyFill="1" applyBorder="1" applyAlignment="1" applyProtection="1">
      <alignment/>
      <protection locked="0"/>
    </xf>
    <xf numFmtId="165" fontId="0" fillId="36" borderId="20" xfId="0" applyNumberFormat="1" applyFill="1" applyBorder="1" applyAlignment="1" applyProtection="1">
      <alignment/>
      <protection locked="0"/>
    </xf>
    <xf numFmtId="165" fontId="0" fillId="36" borderId="0" xfId="0" applyNumberFormat="1" applyFill="1" applyBorder="1" applyAlignment="1" applyProtection="1">
      <alignment/>
      <protection locked="0"/>
    </xf>
    <xf numFmtId="165" fontId="0" fillId="36" borderId="16" xfId="0" applyNumberFormat="1" applyFont="1" applyFill="1" applyBorder="1" applyAlignment="1" applyProtection="1">
      <alignment/>
      <protection locked="0"/>
    </xf>
    <xf numFmtId="0" fontId="0" fillId="36" borderId="20" xfId="0" applyFill="1" applyBorder="1" applyAlignment="1" applyProtection="1">
      <alignment/>
      <protection locked="0"/>
    </xf>
    <xf numFmtId="0" fontId="0" fillId="36" borderId="0" xfId="0" applyFill="1" applyBorder="1" applyAlignment="1" applyProtection="1">
      <alignment/>
      <protection locked="0"/>
    </xf>
    <xf numFmtId="0" fontId="0" fillId="36" borderId="16" xfId="0" applyFill="1" applyBorder="1" applyAlignment="1" applyProtection="1">
      <alignment/>
      <protection locked="0"/>
    </xf>
    <xf numFmtId="165" fontId="0" fillId="36" borderId="16" xfId="0" applyNumberFormat="1" applyFill="1" applyBorder="1" applyAlignment="1" applyProtection="1">
      <alignment/>
      <protection locked="0"/>
    </xf>
    <xf numFmtId="165" fontId="0" fillId="36" borderId="10" xfId="0" applyNumberFormat="1" applyFill="1" applyBorder="1" applyAlignment="1" applyProtection="1">
      <alignment/>
      <protection locked="0"/>
    </xf>
    <xf numFmtId="0" fontId="0" fillId="36" borderId="13" xfId="0" applyFill="1" applyBorder="1" applyAlignment="1" applyProtection="1">
      <alignment/>
      <protection locked="0"/>
    </xf>
    <xf numFmtId="0" fontId="0" fillId="36" borderId="13" xfId="0" applyFont="1" applyFill="1" applyBorder="1" applyAlignment="1" applyProtection="1">
      <alignment/>
      <protection locked="0"/>
    </xf>
    <xf numFmtId="0" fontId="0" fillId="35" borderId="0" xfId="0" applyFont="1" applyFill="1" applyAlignment="1">
      <alignment horizontal="right"/>
    </xf>
    <xf numFmtId="0" fontId="0" fillId="35" borderId="19" xfId="0" applyFont="1" applyFill="1" applyBorder="1" applyAlignment="1">
      <alignment horizontal="right"/>
    </xf>
    <xf numFmtId="0" fontId="0" fillId="35" borderId="21" xfId="0" applyFont="1" applyFill="1" applyBorder="1" applyAlignment="1">
      <alignment horizontal="right"/>
    </xf>
    <xf numFmtId="0" fontId="0" fillId="35" borderId="17" xfId="0" applyFont="1" applyFill="1" applyBorder="1" applyAlignment="1">
      <alignment/>
    </xf>
    <xf numFmtId="0" fontId="3" fillId="35" borderId="18" xfId="0" applyFont="1" applyFill="1" applyBorder="1" applyAlignment="1">
      <alignment horizontal="left"/>
    </xf>
    <xf numFmtId="0" fontId="0" fillId="35" borderId="22" xfId="0" applyFont="1" applyFill="1" applyBorder="1" applyAlignment="1">
      <alignment/>
    </xf>
    <xf numFmtId="0" fontId="0" fillId="35" borderId="19" xfId="0" applyFont="1" applyFill="1" applyBorder="1" applyAlignment="1">
      <alignment/>
    </xf>
    <xf numFmtId="0" fontId="0" fillId="35" borderId="0" xfId="0" applyFont="1" applyFill="1" applyAlignment="1">
      <alignment/>
    </xf>
    <xf numFmtId="0" fontId="0" fillId="35" borderId="21" xfId="0" applyFont="1" applyFill="1" applyBorder="1" applyAlignment="1">
      <alignment/>
    </xf>
    <xf numFmtId="0" fontId="3" fillId="35" borderId="17" xfId="0" applyFont="1" applyFill="1" applyBorder="1" applyAlignment="1">
      <alignment horizontal="right"/>
    </xf>
    <xf numFmtId="0" fontId="0" fillId="35" borderId="23" xfId="0" applyFont="1" applyFill="1" applyBorder="1" applyAlignment="1">
      <alignment/>
    </xf>
    <xf numFmtId="0" fontId="3" fillId="35" borderId="12" xfId="0" applyFont="1" applyFill="1" applyBorder="1" applyAlignment="1">
      <alignment horizontal="center"/>
    </xf>
    <xf numFmtId="0" fontId="3" fillId="35" borderId="23" xfId="0" applyFont="1" applyFill="1" applyBorder="1" applyAlignment="1">
      <alignment/>
    </xf>
    <xf numFmtId="0" fontId="3" fillId="35" borderId="23" xfId="0" applyFont="1" applyFill="1" applyBorder="1" applyAlignment="1">
      <alignment horizontal="center"/>
    </xf>
    <xf numFmtId="0" fontId="0" fillId="35" borderId="17" xfId="0" applyFont="1" applyFill="1" applyBorder="1" applyAlignment="1">
      <alignment/>
    </xf>
    <xf numFmtId="0" fontId="0" fillId="35" borderId="17" xfId="0" applyFont="1" applyFill="1" applyBorder="1" applyAlignment="1">
      <alignment horizontal="center"/>
    </xf>
    <xf numFmtId="0" fontId="0" fillId="35" borderId="12" xfId="0" applyFont="1" applyFill="1" applyBorder="1" applyAlignment="1">
      <alignment horizontal="center"/>
    </xf>
    <xf numFmtId="0" fontId="0" fillId="37" borderId="0" xfId="0" applyFill="1" applyAlignment="1">
      <alignment/>
    </xf>
    <xf numFmtId="0" fontId="3" fillId="37" borderId="18" xfId="0" applyFont="1" applyFill="1" applyBorder="1" applyAlignment="1">
      <alignment horizontal="center"/>
    </xf>
    <xf numFmtId="0" fontId="0" fillId="37" borderId="19" xfId="0" applyFont="1" applyFill="1" applyBorder="1" applyAlignment="1">
      <alignment/>
    </xf>
    <xf numFmtId="0" fontId="0" fillId="37" borderId="0" xfId="0" applyFont="1" applyFill="1" applyAlignment="1">
      <alignment/>
    </xf>
    <xf numFmtId="0" fontId="0" fillId="37" borderId="20" xfId="0" applyFont="1" applyFill="1" applyBorder="1" applyAlignment="1">
      <alignment/>
    </xf>
    <xf numFmtId="0" fontId="0" fillId="37" borderId="22" xfId="0" applyFont="1" applyFill="1" applyBorder="1" applyAlignment="1">
      <alignment/>
    </xf>
    <xf numFmtId="0" fontId="0" fillId="37" borderId="0" xfId="0" applyFont="1" applyFill="1" applyBorder="1" applyAlignment="1">
      <alignment/>
    </xf>
    <xf numFmtId="0" fontId="3" fillId="35" borderId="23" xfId="0" applyFont="1" applyFill="1" applyBorder="1" applyAlignment="1">
      <alignment/>
    </xf>
    <xf numFmtId="0" fontId="0" fillId="35" borderId="16" xfId="0" applyFont="1" applyFill="1" applyBorder="1" applyAlignment="1">
      <alignment/>
    </xf>
    <xf numFmtId="0" fontId="0" fillId="38" borderId="14" xfId="0" applyFill="1" applyBorder="1" applyAlignment="1">
      <alignment/>
    </xf>
    <xf numFmtId="0" fontId="0" fillId="38" borderId="15" xfId="0" applyFill="1" applyBorder="1" applyAlignment="1">
      <alignment/>
    </xf>
    <xf numFmtId="0" fontId="0" fillId="38" borderId="16" xfId="0" applyFill="1" applyBorder="1" applyAlignment="1">
      <alignment/>
    </xf>
    <xf numFmtId="167" fontId="0" fillId="36" borderId="18" xfId="0" applyNumberFormat="1" applyFont="1" applyFill="1" applyBorder="1" applyAlignment="1">
      <alignment horizontal="center"/>
    </xf>
    <xf numFmtId="1" fontId="0" fillId="36" borderId="17" xfId="0" applyNumberFormat="1" applyFont="1" applyFill="1" applyBorder="1" applyAlignment="1">
      <alignment horizontal="center"/>
    </xf>
    <xf numFmtId="165" fontId="0" fillId="36" borderId="15" xfId="0" applyNumberFormat="1" applyFont="1" applyFill="1" applyBorder="1" applyAlignment="1">
      <alignment horizontal="right"/>
    </xf>
    <xf numFmtId="165" fontId="0" fillId="36" borderId="16" xfId="0" applyNumberFormat="1" applyFont="1" applyFill="1" applyBorder="1" applyAlignment="1">
      <alignment horizontal="right"/>
    </xf>
    <xf numFmtId="0" fontId="0" fillId="36" borderId="0" xfId="0" applyFont="1" applyFill="1" applyAlignment="1">
      <alignment/>
    </xf>
    <xf numFmtId="2" fontId="0" fillId="36" borderId="19" xfId="0" applyNumberFormat="1" applyFont="1" applyFill="1" applyBorder="1" applyAlignment="1">
      <alignment/>
    </xf>
    <xf numFmtId="165" fontId="0" fillId="36" borderId="14" xfId="0" applyNumberFormat="1" applyFont="1" applyFill="1" applyBorder="1" applyAlignment="1">
      <alignment/>
    </xf>
    <xf numFmtId="165" fontId="0" fillId="36" borderId="15" xfId="0" applyNumberFormat="1" applyFont="1" applyFill="1" applyBorder="1" applyAlignment="1">
      <alignment/>
    </xf>
    <xf numFmtId="168" fontId="0" fillId="36" borderId="16" xfId="0" applyNumberFormat="1" applyFont="1" applyFill="1" applyBorder="1" applyAlignment="1">
      <alignment/>
    </xf>
    <xf numFmtId="0" fontId="0" fillId="36" borderId="13" xfId="0" applyFont="1" applyFill="1" applyBorder="1" applyAlignment="1">
      <alignment/>
    </xf>
    <xf numFmtId="1" fontId="0" fillId="36" borderId="0" xfId="0" applyNumberFormat="1" applyFont="1" applyFill="1" applyAlignment="1">
      <alignment/>
    </xf>
    <xf numFmtId="1" fontId="0" fillId="36" borderId="19" xfId="0" applyNumberFormat="1" applyFont="1" applyFill="1" applyBorder="1" applyAlignment="1">
      <alignment/>
    </xf>
    <xf numFmtId="0" fontId="0" fillId="36" borderId="19" xfId="0" applyFont="1" applyFill="1" applyBorder="1" applyAlignment="1">
      <alignment/>
    </xf>
    <xf numFmtId="164" fontId="0" fillId="36" borderId="19" xfId="0" applyNumberFormat="1" applyFont="1" applyFill="1" applyBorder="1" applyAlignment="1" applyProtection="1">
      <alignment/>
      <protection/>
    </xf>
    <xf numFmtId="0" fontId="0" fillId="36" borderId="10" xfId="0" applyFont="1" applyFill="1" applyBorder="1" applyAlignment="1">
      <alignment wrapText="1"/>
    </xf>
    <xf numFmtId="0" fontId="0" fillId="36" borderId="11" xfId="0" applyFont="1" applyFill="1" applyBorder="1" applyAlignment="1">
      <alignment/>
    </xf>
    <xf numFmtId="0" fontId="0" fillId="36" borderId="10" xfId="0" applyFont="1" applyFill="1" applyBorder="1" applyAlignment="1">
      <alignment/>
    </xf>
    <xf numFmtId="165" fontId="0" fillId="36" borderId="14" xfId="0" applyNumberFormat="1" applyFont="1" applyFill="1" applyBorder="1" applyAlignment="1">
      <alignment horizontal="center"/>
    </xf>
    <xf numFmtId="165" fontId="0" fillId="36" borderId="15" xfId="0" applyNumberFormat="1" applyFont="1" applyFill="1" applyBorder="1" applyAlignment="1">
      <alignment horizontal="center"/>
    </xf>
    <xf numFmtId="168" fontId="0" fillId="36" borderId="16" xfId="0" applyNumberFormat="1" applyFont="1" applyFill="1" applyBorder="1" applyAlignment="1">
      <alignment horizontal="center"/>
    </xf>
    <xf numFmtId="1" fontId="0" fillId="36" borderId="10" xfId="0" applyNumberFormat="1" applyFont="1" applyFill="1" applyBorder="1" applyAlignment="1">
      <alignment/>
    </xf>
    <xf numFmtId="0" fontId="0" fillId="35" borderId="12" xfId="0" applyFont="1" applyFill="1" applyBorder="1" applyAlignment="1">
      <alignment/>
    </xf>
    <xf numFmtId="0" fontId="0" fillId="35" borderId="10" xfId="0" applyFont="1" applyFill="1" applyBorder="1" applyAlignment="1">
      <alignment/>
    </xf>
    <xf numFmtId="0" fontId="3" fillId="35" borderId="23" xfId="0" applyFont="1" applyFill="1" applyBorder="1" applyAlignment="1">
      <alignment horizontal="left"/>
    </xf>
    <xf numFmtId="167" fontId="0" fillId="36" borderId="22" xfId="0" applyNumberFormat="1" applyFont="1" applyFill="1" applyBorder="1" applyAlignment="1">
      <alignment/>
    </xf>
    <xf numFmtId="167" fontId="0" fillId="36" borderId="19" xfId="0" applyNumberFormat="1" applyFont="1" applyFill="1" applyBorder="1" applyAlignment="1">
      <alignment/>
    </xf>
    <xf numFmtId="167" fontId="0" fillId="36" borderId="21" xfId="0" applyNumberFormat="1" applyFont="1" applyFill="1" applyBorder="1" applyAlignment="1">
      <alignment/>
    </xf>
    <xf numFmtId="167" fontId="0" fillId="36" borderId="10" xfId="0" applyNumberFormat="1" applyFont="1" applyFill="1" applyBorder="1" applyAlignment="1">
      <alignment/>
    </xf>
    <xf numFmtId="167" fontId="0" fillId="36" borderId="14" xfId="0" applyNumberFormat="1" applyFont="1" applyFill="1" applyBorder="1" applyAlignment="1">
      <alignment horizontal="center"/>
    </xf>
    <xf numFmtId="167" fontId="0" fillId="36" borderId="15" xfId="0" applyNumberFormat="1" applyFont="1" applyFill="1" applyBorder="1" applyAlignment="1">
      <alignment horizontal="center"/>
    </xf>
    <xf numFmtId="167" fontId="0" fillId="36" borderId="16" xfId="0" applyNumberFormat="1" applyFont="1" applyFill="1" applyBorder="1" applyAlignment="1">
      <alignment horizontal="center"/>
    </xf>
    <xf numFmtId="0" fontId="0" fillId="37" borderId="0" xfId="0" applyFill="1" applyAlignment="1">
      <alignment/>
    </xf>
    <xf numFmtId="0" fontId="0" fillId="37" borderId="0" xfId="0" applyFill="1" applyAlignment="1">
      <alignment wrapText="1"/>
    </xf>
    <xf numFmtId="17" fontId="3" fillId="37" borderId="0" xfId="0" applyNumberFormat="1" applyFont="1" applyFill="1" applyAlignment="1">
      <alignment/>
    </xf>
    <xf numFmtId="0" fontId="3" fillId="37" borderId="0" xfId="0" applyFont="1" applyFill="1" applyAlignment="1">
      <alignment/>
    </xf>
    <xf numFmtId="0" fontId="0" fillId="37" borderId="20" xfId="0" applyFill="1" applyBorder="1" applyAlignment="1">
      <alignment/>
    </xf>
    <xf numFmtId="0" fontId="0" fillId="0" borderId="0" xfId="0" applyFont="1" applyAlignment="1">
      <alignment/>
    </xf>
    <xf numFmtId="1" fontId="0" fillId="0" borderId="0" xfId="0" applyNumberFormat="1" applyFont="1" applyAlignment="1" applyProtection="1">
      <alignment/>
      <protection/>
    </xf>
    <xf numFmtId="0" fontId="0" fillId="0" borderId="0" xfId="0" applyFont="1" applyAlignment="1">
      <alignment/>
    </xf>
    <xf numFmtId="0" fontId="0" fillId="0" borderId="0" xfId="0" applyFont="1" applyAlignment="1">
      <alignment wrapText="1"/>
    </xf>
    <xf numFmtId="0" fontId="0" fillId="0" borderId="0" xfId="0" applyFont="1" applyAlignment="1" applyProtection="1">
      <alignment horizontal="left"/>
      <protection/>
    </xf>
    <xf numFmtId="0" fontId="0" fillId="0" borderId="0" xfId="0" applyFont="1" applyBorder="1" applyAlignment="1">
      <alignment horizontal="center" vertical="center" wrapText="1"/>
    </xf>
    <xf numFmtId="164" fontId="1" fillId="0" borderId="0" xfId="55" applyFont="1">
      <alignment/>
      <protection/>
    </xf>
    <xf numFmtId="1" fontId="0" fillId="0" borderId="0" xfId="0" applyNumberFormat="1" applyFont="1" applyAlignment="1" applyProtection="1">
      <alignment/>
      <protection/>
    </xf>
    <xf numFmtId="1" fontId="0" fillId="0" borderId="0" xfId="0" applyNumberFormat="1" applyFont="1" applyAlignment="1">
      <alignment/>
    </xf>
    <xf numFmtId="164" fontId="1" fillId="0" borderId="0" xfId="55" applyFont="1" applyAlignment="1" applyProtection="1">
      <alignment horizontal="right"/>
      <protection/>
    </xf>
    <xf numFmtId="164" fontId="1" fillId="0" borderId="0" xfId="55" applyNumberFormat="1" applyFont="1" applyProtection="1">
      <alignment/>
      <protection/>
    </xf>
    <xf numFmtId="2" fontId="1" fillId="0" borderId="0" xfId="55" applyNumberFormat="1" applyFont="1" applyProtection="1">
      <alignment/>
      <protection/>
    </xf>
    <xf numFmtId="0" fontId="0" fillId="0" borderId="0" xfId="0" applyFont="1" applyBorder="1" applyAlignment="1">
      <alignment wrapText="1"/>
    </xf>
    <xf numFmtId="2" fontId="0" fillId="0" borderId="0" xfId="0" applyNumberFormat="1" applyFont="1" applyAlignment="1" applyProtection="1">
      <alignment horizontal="left"/>
      <protection/>
    </xf>
    <xf numFmtId="2" fontId="0" fillId="0" borderId="0" xfId="0" applyNumberFormat="1"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right"/>
      <protection/>
    </xf>
    <xf numFmtId="164" fontId="0" fillId="0" borderId="0" xfId="0" applyNumberFormat="1" applyFont="1" applyAlignment="1" applyProtection="1">
      <alignment/>
      <protection/>
    </xf>
    <xf numFmtId="164" fontId="0" fillId="0" borderId="0" xfId="0" applyNumberFormat="1" applyFont="1" applyAlignment="1">
      <alignment/>
    </xf>
    <xf numFmtId="164" fontId="0" fillId="0" borderId="0" xfId="0" applyNumberFormat="1" applyFont="1" applyFill="1" applyAlignment="1" applyProtection="1">
      <alignment/>
      <protection/>
    </xf>
    <xf numFmtId="164" fontId="1" fillId="0" borderId="0" xfId="55" applyFont="1" applyBorder="1" applyAlignment="1" applyProtection="1">
      <alignment horizontal="right"/>
      <protection/>
    </xf>
    <xf numFmtId="2" fontId="1" fillId="0" borderId="0" xfId="55" applyNumberFormat="1" applyFont="1" applyBorder="1" applyAlignment="1" applyProtection="1">
      <alignment horizontal="right"/>
      <protection/>
    </xf>
    <xf numFmtId="0" fontId="0" fillId="0" borderId="0" xfId="0" applyFont="1" applyBorder="1" applyAlignment="1">
      <alignment/>
    </xf>
    <xf numFmtId="164" fontId="1" fillId="0" borderId="0" xfId="55" applyNumberFormat="1" applyFont="1" applyBorder="1" applyProtection="1">
      <alignment/>
      <protection/>
    </xf>
    <xf numFmtId="2" fontId="1" fillId="0" borderId="0" xfId="55" applyNumberFormat="1" applyFont="1" applyBorder="1" applyProtection="1">
      <alignment/>
      <protection/>
    </xf>
    <xf numFmtId="0" fontId="0" fillId="35" borderId="0" xfId="0" applyFill="1" applyAlignment="1">
      <alignment/>
    </xf>
    <xf numFmtId="0" fontId="0" fillId="37" borderId="0" xfId="0" applyFont="1" applyFill="1" applyAlignment="1">
      <alignment/>
    </xf>
    <xf numFmtId="0" fontId="0" fillId="37" borderId="0" xfId="0" applyFill="1" applyBorder="1" applyAlignment="1">
      <alignment/>
    </xf>
    <xf numFmtId="0" fontId="0" fillId="37" borderId="0" xfId="0" applyFill="1" applyBorder="1" applyAlignment="1">
      <alignment/>
    </xf>
    <xf numFmtId="165" fontId="3" fillId="37" borderId="0" xfId="0" applyNumberFormat="1" applyFont="1" applyFill="1" applyBorder="1" applyAlignment="1" applyProtection="1">
      <alignment horizontal="center"/>
      <protection/>
    </xf>
    <xf numFmtId="0" fontId="0" fillId="37" borderId="20" xfId="0" applyFill="1" applyBorder="1" applyAlignment="1" applyProtection="1">
      <alignment/>
      <protection locked="0"/>
    </xf>
    <xf numFmtId="0" fontId="0" fillId="37" borderId="0" xfId="0" applyFill="1" applyAlignment="1">
      <alignment/>
    </xf>
    <xf numFmtId="0" fontId="0" fillId="37" borderId="0" xfId="0" applyNumberFormat="1" applyFill="1" applyAlignment="1">
      <alignment wrapText="1"/>
    </xf>
    <xf numFmtId="0" fontId="0" fillId="37" borderId="0" xfId="0" applyFill="1" applyAlignment="1">
      <alignment wrapText="1"/>
    </xf>
    <xf numFmtId="0" fontId="10" fillId="37" borderId="0" xfId="0" applyFont="1" applyFill="1" applyAlignment="1">
      <alignment/>
    </xf>
    <xf numFmtId="0" fontId="9" fillId="37" borderId="0" xfId="0" applyFont="1" applyFill="1" applyAlignment="1">
      <alignment/>
    </xf>
    <xf numFmtId="0" fontId="0" fillId="0" borderId="0" xfId="0" applyAlignment="1">
      <alignment wrapText="1"/>
    </xf>
    <xf numFmtId="0" fontId="3" fillId="37" borderId="0" xfId="0" applyFont="1" applyFill="1" applyAlignment="1">
      <alignment wrapText="1"/>
    </xf>
    <xf numFmtId="0" fontId="3" fillId="35" borderId="23" xfId="0" applyFont="1" applyFill="1" applyBorder="1" applyAlignment="1">
      <alignment/>
    </xf>
    <xf numFmtId="0" fontId="0" fillId="35" borderId="17" xfId="0" applyFill="1" applyBorder="1" applyAlignment="1">
      <alignment/>
    </xf>
    <xf numFmtId="0" fontId="3" fillId="37" borderId="0" xfId="0" applyFont="1" applyFill="1" applyBorder="1" applyAlignment="1">
      <alignment/>
    </xf>
    <xf numFmtId="0" fontId="0" fillId="37" borderId="0" xfId="0" applyFill="1" applyBorder="1" applyAlignment="1">
      <alignment/>
    </xf>
    <xf numFmtId="0" fontId="0" fillId="37" borderId="12" xfId="0" applyFill="1" applyBorder="1" applyAlignment="1">
      <alignment/>
    </xf>
    <xf numFmtId="0" fontId="3" fillId="38" borderId="23" xfId="0" applyFont="1" applyFill="1" applyBorder="1" applyAlignment="1">
      <alignment/>
    </xf>
    <xf numFmtId="0" fontId="0" fillId="38" borderId="17" xfId="0" applyFill="1" applyBorder="1" applyAlignment="1">
      <alignment/>
    </xf>
    <xf numFmtId="0" fontId="0" fillId="37" borderId="20" xfId="0" applyFont="1" applyFill="1" applyBorder="1" applyAlignment="1">
      <alignment/>
    </xf>
    <xf numFmtId="0" fontId="0" fillId="37" borderId="20" xfId="0" applyFill="1" applyBorder="1" applyAlignment="1">
      <alignment/>
    </xf>
    <xf numFmtId="0" fontId="0" fillId="37" borderId="10" xfId="0" applyFill="1" applyBorder="1" applyAlignment="1">
      <alignment/>
    </xf>
    <xf numFmtId="0" fontId="3" fillId="35" borderId="14" xfId="0" applyFont="1" applyFill="1" applyBorder="1" applyAlignment="1">
      <alignment horizontal="center" vertical="center" wrapText="1"/>
    </xf>
    <xf numFmtId="0" fontId="0" fillId="35" borderId="15" xfId="0" applyFill="1" applyBorder="1" applyAlignment="1">
      <alignment horizontal="center" vertical="center" wrapText="1"/>
    </xf>
    <xf numFmtId="0" fontId="0" fillId="35" borderId="16" xfId="0" applyFill="1" applyBorder="1" applyAlignment="1">
      <alignment horizontal="center" vertical="center" wrapText="1"/>
    </xf>
    <xf numFmtId="0" fontId="3" fillId="35" borderId="22" xfId="0" applyFont="1" applyFill="1" applyBorder="1" applyAlignment="1">
      <alignment horizontal="center" vertical="center" wrapText="1"/>
    </xf>
    <xf numFmtId="0" fontId="0" fillId="35" borderId="19" xfId="0" applyFill="1" applyBorder="1" applyAlignment="1">
      <alignment horizontal="center" vertical="center" wrapText="1"/>
    </xf>
    <xf numFmtId="0" fontId="0" fillId="35" borderId="21" xfId="0" applyFill="1" applyBorder="1" applyAlignment="1">
      <alignment horizontal="center" vertical="center" wrapText="1"/>
    </xf>
    <xf numFmtId="0" fontId="3" fillId="35" borderId="14" xfId="0" applyFont="1" applyFill="1" applyBorder="1" applyAlignment="1">
      <alignment horizontal="left" vertical="center"/>
    </xf>
    <xf numFmtId="0" fontId="0" fillId="35" borderId="15" xfId="0" applyFill="1" applyBorder="1" applyAlignment="1">
      <alignment vertical="center"/>
    </xf>
    <xf numFmtId="0" fontId="0" fillId="35" borderId="16" xfId="0" applyFill="1" applyBorder="1" applyAlignment="1">
      <alignment vertical="center"/>
    </xf>
    <xf numFmtId="0" fontId="3" fillId="37" borderId="12" xfId="0" applyFont="1" applyFill="1" applyBorder="1" applyAlignment="1">
      <alignment horizontal="center"/>
    </xf>
    <xf numFmtId="0" fontId="3" fillId="37" borderId="17" xfId="0" applyFont="1" applyFill="1" applyBorder="1" applyAlignment="1">
      <alignment horizontal="center"/>
    </xf>
    <xf numFmtId="0" fontId="3" fillId="35" borderId="14" xfId="0" applyFont="1" applyFill="1" applyBorder="1" applyAlignment="1">
      <alignment horizontal="right" vertical="center" wrapText="1"/>
    </xf>
    <xf numFmtId="0" fontId="3" fillId="35" borderId="15" xfId="0" applyFont="1" applyFill="1" applyBorder="1" applyAlignment="1">
      <alignment horizontal="right" vertical="center" wrapText="1"/>
    </xf>
    <xf numFmtId="0" fontId="3" fillId="35" borderId="16" xfId="0" applyFont="1" applyFill="1" applyBorder="1" applyAlignment="1">
      <alignment horizontal="right" vertical="center" wrapText="1"/>
    </xf>
    <xf numFmtId="0" fontId="2" fillId="37" borderId="0" xfId="0" applyFont="1" applyFill="1" applyAlignment="1">
      <alignment horizontal="center" vertical="center" wrapText="1"/>
    </xf>
    <xf numFmtId="0" fontId="3" fillId="35" borderId="15" xfId="0" applyFont="1" applyFill="1" applyBorder="1" applyAlignment="1">
      <alignment horizontal="center" vertical="center" wrapText="1"/>
    </xf>
    <xf numFmtId="0" fontId="8" fillId="35" borderId="12" xfId="0" applyFont="1" applyFill="1" applyBorder="1" applyAlignment="1" applyProtection="1">
      <alignment horizontal="center"/>
      <protection/>
    </xf>
    <xf numFmtId="0" fontId="0" fillId="0" borderId="12" xfId="0" applyBorder="1" applyAlignment="1">
      <alignment horizontal="center"/>
    </xf>
    <xf numFmtId="0" fontId="0" fillId="0" borderId="17" xfId="0" applyBorder="1" applyAlignment="1">
      <alignment horizontal="center"/>
    </xf>
    <xf numFmtId="0" fontId="0" fillId="37" borderId="0" xfId="0" applyFont="1" applyFill="1" applyAlignment="1">
      <alignment/>
    </xf>
    <xf numFmtId="0" fontId="0" fillId="0" borderId="0" xfId="0" applyAlignment="1">
      <alignment/>
    </xf>
    <xf numFmtId="0" fontId="0" fillId="37" borderId="20" xfId="0" applyFont="1" applyFill="1" applyBorder="1" applyAlignment="1">
      <alignment/>
    </xf>
    <xf numFmtId="0" fontId="3" fillId="35" borderId="12" xfId="0" applyFont="1" applyFill="1" applyBorder="1" applyAlignment="1">
      <alignment horizontal="center"/>
    </xf>
    <xf numFmtId="0" fontId="2" fillId="37" borderId="10" xfId="0" applyFont="1" applyFill="1" applyBorder="1" applyAlignment="1">
      <alignment horizontal="center" vertical="center" wrapText="1"/>
    </xf>
    <xf numFmtId="0" fontId="0" fillId="0" borderId="10" xfId="0" applyBorder="1" applyAlignment="1">
      <alignment/>
    </xf>
    <xf numFmtId="0" fontId="3" fillId="35" borderId="23" xfId="0" applyFont="1" applyFill="1" applyBorder="1" applyAlignment="1">
      <alignment horizontal="center"/>
    </xf>
    <xf numFmtId="0" fontId="0" fillId="0" borderId="12" xfId="0" applyBorder="1" applyAlignment="1">
      <alignment/>
    </xf>
    <xf numFmtId="0" fontId="0" fillId="0" borderId="17" xfId="0" applyBorder="1" applyAlignment="1">
      <alignment/>
    </xf>
    <xf numFmtId="0" fontId="0" fillId="0" borderId="0" xfId="0" applyFont="1" applyBorder="1" applyAlignment="1">
      <alignment horizontal="center" vertical="center" wrapText="1"/>
    </xf>
    <xf numFmtId="0" fontId="0" fillId="0" borderId="0"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LEVELVUE"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R34"/>
  <sheetViews>
    <sheetView zoomScalePageLayoutView="0" workbookViewId="0" topLeftCell="A1">
      <selection activeCell="A10" sqref="A10:P32"/>
    </sheetView>
  </sheetViews>
  <sheetFormatPr defaultColWidth="9.140625" defaultRowHeight="12.75"/>
  <sheetData>
    <row r="1" spans="1:18" ht="25.5">
      <c r="A1" s="147" t="s">
        <v>220</v>
      </c>
      <c r="B1" s="148"/>
      <c r="C1" s="148"/>
      <c r="D1" s="148"/>
      <c r="E1" s="148"/>
      <c r="F1" s="148"/>
      <c r="G1" s="148"/>
      <c r="H1" s="148"/>
      <c r="I1" s="148"/>
      <c r="J1" s="148"/>
      <c r="K1" s="148"/>
      <c r="L1" s="108"/>
      <c r="M1" s="108"/>
      <c r="N1" s="108"/>
      <c r="O1" s="108"/>
      <c r="P1" s="108"/>
      <c r="Q1" s="108"/>
      <c r="R1" s="108"/>
    </row>
    <row r="2" spans="1:18" ht="12.75">
      <c r="A2" s="110" t="s">
        <v>221</v>
      </c>
      <c r="B2" s="108"/>
      <c r="C2" s="108"/>
      <c r="D2" s="108"/>
      <c r="E2" s="108"/>
      <c r="F2" s="108"/>
      <c r="G2" s="108"/>
      <c r="H2" s="108"/>
      <c r="I2" s="108"/>
      <c r="J2" s="108"/>
      <c r="K2" s="108"/>
      <c r="L2" s="108"/>
      <c r="M2" s="108"/>
      <c r="N2" s="108"/>
      <c r="O2" s="108"/>
      <c r="P2" s="108"/>
      <c r="Q2" s="108"/>
      <c r="R2" s="108"/>
    </row>
    <row r="3" spans="1:18" ht="12.75">
      <c r="A3" s="144" t="s">
        <v>218</v>
      </c>
      <c r="B3" s="144"/>
      <c r="C3" s="144"/>
      <c r="D3" s="144"/>
      <c r="E3" s="144"/>
      <c r="F3" s="144"/>
      <c r="G3" s="144"/>
      <c r="H3" s="144"/>
      <c r="I3" s="144"/>
      <c r="J3" s="144"/>
      <c r="K3" s="144"/>
      <c r="L3" s="108"/>
      <c r="M3" s="108"/>
      <c r="N3" s="108"/>
      <c r="O3" s="108"/>
      <c r="P3" s="108"/>
      <c r="Q3" s="108"/>
      <c r="R3" s="108"/>
    </row>
    <row r="4" spans="1:18" ht="12.75">
      <c r="A4" s="108"/>
      <c r="B4" s="108"/>
      <c r="C4" s="108"/>
      <c r="D4" s="108"/>
      <c r="E4" s="108"/>
      <c r="F4" s="108"/>
      <c r="G4" s="108"/>
      <c r="H4" s="108"/>
      <c r="I4" s="108"/>
      <c r="J4" s="108"/>
      <c r="K4" s="108"/>
      <c r="L4" s="108"/>
      <c r="M4" s="108"/>
      <c r="N4" s="108"/>
      <c r="O4" s="108"/>
      <c r="P4" s="108"/>
      <c r="Q4" s="108"/>
      <c r="R4" s="108"/>
    </row>
    <row r="5" spans="1:18" ht="12.75">
      <c r="A5" s="111" t="s">
        <v>219</v>
      </c>
      <c r="B5" s="108"/>
      <c r="C5" s="108"/>
      <c r="D5" s="108"/>
      <c r="E5" s="108"/>
      <c r="F5" s="108"/>
      <c r="G5" s="108"/>
      <c r="H5" s="108"/>
      <c r="I5" s="108"/>
      <c r="J5" s="108"/>
      <c r="K5" s="108"/>
      <c r="L5" s="108"/>
      <c r="M5" s="108"/>
      <c r="N5" s="108"/>
      <c r="O5" s="108"/>
      <c r="P5" s="108"/>
      <c r="Q5" s="108"/>
      <c r="R5" s="108"/>
    </row>
    <row r="6" spans="1:18" ht="12.75">
      <c r="A6" s="145" t="s">
        <v>248</v>
      </c>
      <c r="B6" s="146"/>
      <c r="C6" s="146"/>
      <c r="D6" s="146"/>
      <c r="E6" s="146"/>
      <c r="F6" s="146"/>
      <c r="G6" s="146"/>
      <c r="H6" s="146"/>
      <c r="I6" s="146"/>
      <c r="J6" s="146"/>
      <c r="K6" s="146"/>
      <c r="L6" s="146"/>
      <c r="M6" s="146"/>
      <c r="N6" s="146"/>
      <c r="O6" s="146"/>
      <c r="P6" s="108"/>
      <c r="Q6" s="108"/>
      <c r="R6" s="108"/>
    </row>
    <row r="7" spans="1:18" ht="12.75">
      <c r="A7" s="146"/>
      <c r="B7" s="146"/>
      <c r="C7" s="146"/>
      <c r="D7" s="146"/>
      <c r="E7" s="146"/>
      <c r="F7" s="146"/>
      <c r="G7" s="146"/>
      <c r="H7" s="146"/>
      <c r="I7" s="146"/>
      <c r="J7" s="146"/>
      <c r="K7" s="146"/>
      <c r="L7" s="146"/>
      <c r="M7" s="146"/>
      <c r="N7" s="146"/>
      <c r="O7" s="146"/>
      <c r="P7" s="108"/>
      <c r="Q7" s="108"/>
      <c r="R7" s="108"/>
    </row>
    <row r="8" spans="1:18" ht="12.75">
      <c r="A8" s="146"/>
      <c r="B8" s="146"/>
      <c r="C8" s="146"/>
      <c r="D8" s="146"/>
      <c r="E8" s="146"/>
      <c r="F8" s="146"/>
      <c r="G8" s="146"/>
      <c r="H8" s="146"/>
      <c r="I8" s="146"/>
      <c r="J8" s="146"/>
      <c r="K8" s="146"/>
      <c r="L8" s="146"/>
      <c r="M8" s="146"/>
      <c r="N8" s="146"/>
      <c r="O8" s="146"/>
      <c r="P8" s="108"/>
      <c r="Q8" s="108"/>
      <c r="R8" s="108"/>
    </row>
    <row r="9" spans="1:18" ht="12.75">
      <c r="A9" s="146"/>
      <c r="B9" s="146"/>
      <c r="C9" s="146"/>
      <c r="D9" s="146"/>
      <c r="E9" s="146"/>
      <c r="F9" s="146"/>
      <c r="G9" s="146"/>
      <c r="H9" s="146"/>
      <c r="I9" s="146"/>
      <c r="J9" s="146"/>
      <c r="K9" s="146"/>
      <c r="L9" s="146"/>
      <c r="M9" s="146"/>
      <c r="N9" s="146"/>
      <c r="O9" s="146"/>
      <c r="P9" s="108"/>
      <c r="Q9" s="108"/>
      <c r="R9" s="108"/>
    </row>
    <row r="10" spans="1:18" ht="12.75">
      <c r="A10" s="144"/>
      <c r="B10" s="144"/>
      <c r="C10" s="144"/>
      <c r="D10" s="144"/>
      <c r="E10" s="144"/>
      <c r="F10" s="144"/>
      <c r="G10" s="144"/>
      <c r="H10" s="144"/>
      <c r="I10" s="144"/>
      <c r="J10" s="144"/>
      <c r="K10" s="144"/>
      <c r="L10" s="144"/>
      <c r="M10" s="144"/>
      <c r="N10" s="144"/>
      <c r="O10" s="144"/>
      <c r="P10" s="144"/>
      <c r="Q10" s="108"/>
      <c r="R10" s="108"/>
    </row>
    <row r="11" spans="1:18" ht="12.75">
      <c r="A11" s="144"/>
      <c r="B11" s="144"/>
      <c r="C11" s="144"/>
      <c r="D11" s="144"/>
      <c r="E11" s="144"/>
      <c r="F11" s="144"/>
      <c r="G11" s="144"/>
      <c r="H11" s="144"/>
      <c r="I11" s="144"/>
      <c r="J11" s="144"/>
      <c r="K11" s="144"/>
      <c r="L11" s="144"/>
      <c r="M11" s="144"/>
      <c r="N11" s="144"/>
      <c r="O11" s="144"/>
      <c r="P11" s="144"/>
      <c r="Q11" s="108"/>
      <c r="R11" s="108"/>
    </row>
    <row r="12" spans="1:18" ht="12.75">
      <c r="A12" s="144"/>
      <c r="B12" s="144"/>
      <c r="C12" s="144"/>
      <c r="D12" s="144"/>
      <c r="E12" s="144"/>
      <c r="F12" s="144"/>
      <c r="G12" s="144"/>
      <c r="H12" s="144"/>
      <c r="I12" s="144"/>
      <c r="J12" s="144"/>
      <c r="K12" s="144"/>
      <c r="L12" s="144"/>
      <c r="M12" s="144"/>
      <c r="N12" s="144"/>
      <c r="O12" s="144"/>
      <c r="P12" s="144"/>
      <c r="Q12" s="108"/>
      <c r="R12" s="108"/>
    </row>
    <row r="13" spans="1:18" ht="12.75">
      <c r="A13" s="144"/>
      <c r="B13" s="144"/>
      <c r="C13" s="144"/>
      <c r="D13" s="144"/>
      <c r="E13" s="144"/>
      <c r="F13" s="144"/>
      <c r="G13" s="144"/>
      <c r="H13" s="144"/>
      <c r="I13" s="144"/>
      <c r="J13" s="144"/>
      <c r="K13" s="144"/>
      <c r="L13" s="144"/>
      <c r="M13" s="144"/>
      <c r="N13" s="144"/>
      <c r="O13" s="144"/>
      <c r="P13" s="144"/>
      <c r="Q13" s="108"/>
      <c r="R13" s="108"/>
    </row>
    <row r="14" spans="1:18" ht="12.75">
      <c r="A14" s="144"/>
      <c r="B14" s="144"/>
      <c r="C14" s="144"/>
      <c r="D14" s="144"/>
      <c r="E14" s="144"/>
      <c r="F14" s="144"/>
      <c r="G14" s="144"/>
      <c r="H14" s="144"/>
      <c r="I14" s="144"/>
      <c r="J14" s="144"/>
      <c r="K14" s="144"/>
      <c r="L14" s="144"/>
      <c r="M14" s="144"/>
      <c r="N14" s="144"/>
      <c r="O14" s="144"/>
      <c r="P14" s="144"/>
      <c r="Q14" s="108"/>
      <c r="R14" s="108"/>
    </row>
    <row r="15" spans="1:18" ht="12.75">
      <c r="A15" s="144"/>
      <c r="B15" s="144"/>
      <c r="C15" s="144"/>
      <c r="D15" s="144"/>
      <c r="E15" s="144"/>
      <c r="F15" s="144"/>
      <c r="G15" s="144"/>
      <c r="H15" s="144"/>
      <c r="I15" s="144"/>
      <c r="J15" s="144"/>
      <c r="K15" s="144"/>
      <c r="L15" s="144"/>
      <c r="M15" s="144"/>
      <c r="N15" s="144"/>
      <c r="O15" s="144"/>
      <c r="P15" s="144"/>
      <c r="Q15" s="108"/>
      <c r="R15" s="108"/>
    </row>
    <row r="16" spans="1:18" ht="12.75">
      <c r="A16" s="144"/>
      <c r="B16" s="144"/>
      <c r="C16" s="144"/>
      <c r="D16" s="144"/>
      <c r="E16" s="144"/>
      <c r="F16" s="144"/>
      <c r="G16" s="144"/>
      <c r="H16" s="144"/>
      <c r="I16" s="144"/>
      <c r="J16" s="144"/>
      <c r="K16" s="144"/>
      <c r="L16" s="144"/>
      <c r="M16" s="144"/>
      <c r="N16" s="144"/>
      <c r="O16" s="144"/>
      <c r="P16" s="144"/>
      <c r="Q16" s="108"/>
      <c r="R16" s="108"/>
    </row>
    <row r="17" spans="1:18" ht="12.75">
      <c r="A17" s="144"/>
      <c r="B17" s="144"/>
      <c r="C17" s="144"/>
      <c r="D17" s="144"/>
      <c r="E17" s="144"/>
      <c r="F17" s="144"/>
      <c r="G17" s="144"/>
      <c r="H17" s="144"/>
      <c r="I17" s="144"/>
      <c r="J17" s="144"/>
      <c r="K17" s="144"/>
      <c r="L17" s="144"/>
      <c r="M17" s="144"/>
      <c r="N17" s="144"/>
      <c r="O17" s="144"/>
      <c r="P17" s="144"/>
      <c r="Q17" s="108"/>
      <c r="R17" s="108"/>
    </row>
    <row r="18" spans="1:18" ht="12.75">
      <c r="A18" s="144"/>
      <c r="B18" s="144"/>
      <c r="C18" s="144"/>
      <c r="D18" s="144"/>
      <c r="E18" s="144"/>
      <c r="F18" s="144"/>
      <c r="G18" s="144"/>
      <c r="H18" s="144"/>
      <c r="I18" s="144"/>
      <c r="J18" s="144"/>
      <c r="K18" s="144"/>
      <c r="L18" s="144"/>
      <c r="M18" s="144"/>
      <c r="N18" s="144"/>
      <c r="O18" s="144"/>
      <c r="P18" s="144"/>
      <c r="Q18" s="108"/>
      <c r="R18" s="108"/>
    </row>
    <row r="19" spans="1:18" ht="12.75">
      <c r="A19" s="144"/>
      <c r="B19" s="144"/>
      <c r="C19" s="144"/>
      <c r="D19" s="144"/>
      <c r="E19" s="144"/>
      <c r="F19" s="144"/>
      <c r="G19" s="144"/>
      <c r="H19" s="144"/>
      <c r="I19" s="144"/>
      <c r="J19" s="144"/>
      <c r="K19" s="144"/>
      <c r="L19" s="144"/>
      <c r="M19" s="144"/>
      <c r="N19" s="144"/>
      <c r="O19" s="144"/>
      <c r="P19" s="144"/>
      <c r="Q19" s="108"/>
      <c r="R19" s="108"/>
    </row>
    <row r="20" spans="1:18" ht="12.75">
      <c r="A20" s="144"/>
      <c r="B20" s="144"/>
      <c r="C20" s="144"/>
      <c r="D20" s="144"/>
      <c r="E20" s="144"/>
      <c r="F20" s="144"/>
      <c r="G20" s="144"/>
      <c r="H20" s="144"/>
      <c r="I20" s="144"/>
      <c r="J20" s="144"/>
      <c r="K20" s="144"/>
      <c r="L20" s="144"/>
      <c r="M20" s="144"/>
      <c r="N20" s="144"/>
      <c r="O20" s="144"/>
      <c r="P20" s="144"/>
      <c r="Q20" s="108"/>
      <c r="R20" s="108"/>
    </row>
    <row r="21" spans="1:18" ht="12.75">
      <c r="A21" s="144"/>
      <c r="B21" s="144"/>
      <c r="C21" s="144"/>
      <c r="D21" s="144"/>
      <c r="E21" s="144"/>
      <c r="F21" s="144"/>
      <c r="G21" s="144"/>
      <c r="H21" s="144"/>
      <c r="I21" s="144"/>
      <c r="J21" s="144"/>
      <c r="K21" s="144"/>
      <c r="L21" s="144"/>
      <c r="M21" s="144"/>
      <c r="N21" s="144"/>
      <c r="O21" s="144"/>
      <c r="P21" s="144"/>
      <c r="Q21" s="108"/>
      <c r="R21" s="108"/>
    </row>
    <row r="22" spans="1:18" ht="12.75">
      <c r="A22" s="144"/>
      <c r="B22" s="144"/>
      <c r="C22" s="144"/>
      <c r="D22" s="144"/>
      <c r="E22" s="144"/>
      <c r="F22" s="144"/>
      <c r="G22" s="144"/>
      <c r="H22" s="144"/>
      <c r="I22" s="144"/>
      <c r="J22" s="144"/>
      <c r="K22" s="144"/>
      <c r="L22" s="144"/>
      <c r="M22" s="144"/>
      <c r="N22" s="144"/>
      <c r="O22" s="144"/>
      <c r="P22" s="144"/>
      <c r="Q22" s="108"/>
      <c r="R22" s="108"/>
    </row>
    <row r="23" spans="1:18" ht="12.75">
      <c r="A23" s="144"/>
      <c r="B23" s="144"/>
      <c r="C23" s="144"/>
      <c r="D23" s="144"/>
      <c r="E23" s="144"/>
      <c r="F23" s="144"/>
      <c r="G23" s="144"/>
      <c r="H23" s="144"/>
      <c r="I23" s="144"/>
      <c r="J23" s="144"/>
      <c r="K23" s="144"/>
      <c r="L23" s="144"/>
      <c r="M23" s="144"/>
      <c r="N23" s="144"/>
      <c r="O23" s="144"/>
      <c r="P23" s="144"/>
      <c r="Q23" s="108"/>
      <c r="R23" s="108"/>
    </row>
    <row r="24" spans="1:18" ht="12.75">
      <c r="A24" s="144"/>
      <c r="B24" s="144"/>
      <c r="C24" s="144"/>
      <c r="D24" s="144"/>
      <c r="E24" s="144"/>
      <c r="F24" s="144"/>
      <c r="G24" s="144"/>
      <c r="H24" s="144"/>
      <c r="I24" s="144"/>
      <c r="J24" s="144"/>
      <c r="K24" s="144"/>
      <c r="L24" s="144"/>
      <c r="M24" s="144"/>
      <c r="N24" s="144"/>
      <c r="O24" s="144"/>
      <c r="P24" s="144"/>
      <c r="Q24" s="108"/>
      <c r="R24" s="108"/>
    </row>
    <row r="25" spans="1:18" ht="12.75">
      <c r="A25" s="144"/>
      <c r="B25" s="144"/>
      <c r="C25" s="144"/>
      <c r="D25" s="144"/>
      <c r="E25" s="144"/>
      <c r="F25" s="144"/>
      <c r="G25" s="144"/>
      <c r="H25" s="144"/>
      <c r="I25" s="144"/>
      <c r="J25" s="144"/>
      <c r="K25" s="144"/>
      <c r="L25" s="144"/>
      <c r="M25" s="144"/>
      <c r="N25" s="144"/>
      <c r="O25" s="144"/>
      <c r="P25" s="144"/>
      <c r="Q25" s="108"/>
      <c r="R25" s="108"/>
    </row>
    <row r="26" spans="1:18" ht="12.75">
      <c r="A26" s="144"/>
      <c r="B26" s="144"/>
      <c r="C26" s="144"/>
      <c r="D26" s="144"/>
      <c r="E26" s="144"/>
      <c r="F26" s="144"/>
      <c r="G26" s="144"/>
      <c r="H26" s="144"/>
      <c r="I26" s="144"/>
      <c r="J26" s="144"/>
      <c r="K26" s="144"/>
      <c r="L26" s="144"/>
      <c r="M26" s="144"/>
      <c r="N26" s="144"/>
      <c r="O26" s="144"/>
      <c r="P26" s="144"/>
      <c r="Q26" s="108"/>
      <c r="R26" s="108"/>
    </row>
    <row r="27" spans="1:18" ht="12.75">
      <c r="A27" s="144"/>
      <c r="B27" s="144"/>
      <c r="C27" s="144"/>
      <c r="D27" s="144"/>
      <c r="E27" s="144"/>
      <c r="F27" s="144"/>
      <c r="G27" s="144"/>
      <c r="H27" s="144"/>
      <c r="I27" s="144"/>
      <c r="J27" s="144"/>
      <c r="K27" s="144"/>
      <c r="L27" s="144"/>
      <c r="M27" s="144"/>
      <c r="N27" s="144"/>
      <c r="O27" s="144"/>
      <c r="P27" s="144"/>
      <c r="Q27" s="108"/>
      <c r="R27" s="108"/>
    </row>
    <row r="28" spans="1:18" ht="12.75">
      <c r="A28" s="144"/>
      <c r="B28" s="144"/>
      <c r="C28" s="144"/>
      <c r="D28" s="144"/>
      <c r="E28" s="144"/>
      <c r="F28" s="144"/>
      <c r="G28" s="144"/>
      <c r="H28" s="144"/>
      <c r="I28" s="144"/>
      <c r="J28" s="144"/>
      <c r="K28" s="144"/>
      <c r="L28" s="144"/>
      <c r="M28" s="144"/>
      <c r="N28" s="144"/>
      <c r="O28" s="144"/>
      <c r="P28" s="144"/>
      <c r="Q28" s="108"/>
      <c r="R28" s="108"/>
    </row>
    <row r="29" spans="1:18" ht="12.75">
      <c r="A29" s="144"/>
      <c r="B29" s="144"/>
      <c r="C29" s="144"/>
      <c r="D29" s="144"/>
      <c r="E29" s="144"/>
      <c r="F29" s="144"/>
      <c r="G29" s="144"/>
      <c r="H29" s="144"/>
      <c r="I29" s="144"/>
      <c r="J29" s="144"/>
      <c r="K29" s="144"/>
      <c r="L29" s="144"/>
      <c r="M29" s="144"/>
      <c r="N29" s="144"/>
      <c r="O29" s="144"/>
      <c r="P29" s="144"/>
      <c r="Q29" s="108"/>
      <c r="R29" s="108"/>
    </row>
    <row r="30" spans="1:18" ht="12.75">
      <c r="A30" s="144"/>
      <c r="B30" s="144"/>
      <c r="C30" s="144"/>
      <c r="D30" s="144"/>
      <c r="E30" s="144"/>
      <c r="F30" s="144"/>
      <c r="G30" s="144"/>
      <c r="H30" s="144"/>
      <c r="I30" s="144"/>
      <c r="J30" s="144"/>
      <c r="K30" s="144"/>
      <c r="L30" s="144"/>
      <c r="M30" s="144"/>
      <c r="N30" s="144"/>
      <c r="O30" s="144"/>
      <c r="P30" s="144"/>
      <c r="Q30" s="108"/>
      <c r="R30" s="108"/>
    </row>
    <row r="31" spans="1:18" ht="12.75">
      <c r="A31" s="144"/>
      <c r="B31" s="144"/>
      <c r="C31" s="144"/>
      <c r="D31" s="144"/>
      <c r="E31" s="144"/>
      <c r="F31" s="144"/>
      <c r="G31" s="144"/>
      <c r="H31" s="144"/>
      <c r="I31" s="144"/>
      <c r="J31" s="144"/>
      <c r="K31" s="144"/>
      <c r="L31" s="144"/>
      <c r="M31" s="144"/>
      <c r="N31" s="144"/>
      <c r="O31" s="144"/>
      <c r="P31" s="144"/>
      <c r="Q31" s="108"/>
      <c r="R31" s="108"/>
    </row>
    <row r="32" spans="1:18" ht="12.75">
      <c r="A32" s="144"/>
      <c r="B32" s="144"/>
      <c r="C32" s="144"/>
      <c r="D32" s="144"/>
      <c r="E32" s="144"/>
      <c r="F32" s="144"/>
      <c r="G32" s="144"/>
      <c r="H32" s="144"/>
      <c r="I32" s="144"/>
      <c r="J32" s="144"/>
      <c r="K32" s="144"/>
      <c r="L32" s="144"/>
      <c r="M32" s="144"/>
      <c r="N32" s="144"/>
      <c r="O32" s="144"/>
      <c r="P32" s="144"/>
      <c r="Q32" s="108"/>
      <c r="R32" s="108"/>
    </row>
    <row r="33" spans="1:18" ht="12.75">
      <c r="A33" s="108"/>
      <c r="B33" s="108"/>
      <c r="C33" s="108"/>
      <c r="D33" s="108"/>
      <c r="E33" s="108"/>
      <c r="F33" s="108"/>
      <c r="G33" s="108"/>
      <c r="H33" s="108"/>
      <c r="I33" s="108"/>
      <c r="J33" s="108"/>
      <c r="K33" s="108"/>
      <c r="L33" s="108"/>
      <c r="M33" s="108"/>
      <c r="N33" s="108"/>
      <c r="O33" s="108"/>
      <c r="P33" s="108"/>
      <c r="Q33" s="108"/>
      <c r="R33" s="108"/>
    </row>
    <row r="34" spans="1:18" ht="12.75">
      <c r="A34" s="108"/>
      <c r="B34" s="108"/>
      <c r="C34" s="108"/>
      <c r="D34" s="108"/>
      <c r="E34" s="108"/>
      <c r="F34" s="108"/>
      <c r="G34" s="108"/>
      <c r="H34" s="108"/>
      <c r="I34" s="108"/>
      <c r="J34" s="108"/>
      <c r="K34" s="108"/>
      <c r="L34" s="108"/>
      <c r="M34" s="108"/>
      <c r="N34" s="108"/>
      <c r="O34" s="108"/>
      <c r="P34" s="108"/>
      <c r="Q34" s="108"/>
      <c r="R34" s="108"/>
    </row>
  </sheetData>
  <sheetProtection password="C1A6" sheet="1" objects="1" scenarios="1" selectLockedCells="1" selectUnlockedCells="1"/>
  <mergeCells count="4">
    <mergeCell ref="A10:P32"/>
    <mergeCell ref="A6:O9"/>
    <mergeCell ref="A1:K1"/>
    <mergeCell ref="A3:K3"/>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tabColor indexed="47"/>
  </sheetPr>
  <dimension ref="A1:P36"/>
  <sheetViews>
    <sheetView zoomScalePageLayoutView="0" workbookViewId="0" topLeftCell="A1">
      <selection activeCell="A15" sqref="A15:O16"/>
    </sheetView>
  </sheetViews>
  <sheetFormatPr defaultColWidth="9.140625" defaultRowHeight="12.75"/>
  <sheetData>
    <row r="1" spans="1:16" ht="12.75">
      <c r="A1" s="150" t="s">
        <v>243</v>
      </c>
      <c r="B1" s="146"/>
      <c r="C1" s="146"/>
      <c r="D1" s="146"/>
      <c r="E1" s="146"/>
      <c r="F1" s="146"/>
      <c r="G1" s="146"/>
      <c r="H1" s="146"/>
      <c r="I1" s="146"/>
      <c r="J1" s="146"/>
      <c r="K1" s="146"/>
      <c r="L1" s="146"/>
      <c r="M1" s="146"/>
      <c r="N1" s="146"/>
      <c r="O1" s="146"/>
      <c r="P1" s="108"/>
    </row>
    <row r="2" spans="1:16" ht="12.75">
      <c r="A2" s="146"/>
      <c r="B2" s="146"/>
      <c r="C2" s="146"/>
      <c r="D2" s="146"/>
      <c r="E2" s="146"/>
      <c r="F2" s="146"/>
      <c r="G2" s="146"/>
      <c r="H2" s="146"/>
      <c r="I2" s="146"/>
      <c r="J2" s="146"/>
      <c r="K2" s="146"/>
      <c r="L2" s="146"/>
      <c r="M2" s="146"/>
      <c r="N2" s="146"/>
      <c r="O2" s="146"/>
      <c r="P2" s="108"/>
    </row>
    <row r="3" spans="1:16" ht="12.75">
      <c r="A3" s="109"/>
      <c r="B3" s="109"/>
      <c r="C3" s="109"/>
      <c r="D3" s="109"/>
      <c r="E3" s="109"/>
      <c r="F3" s="109"/>
      <c r="G3" s="109"/>
      <c r="H3" s="109"/>
      <c r="I3" s="109"/>
      <c r="J3" s="109"/>
      <c r="K3" s="109"/>
      <c r="L3" s="109"/>
      <c r="M3" s="109"/>
      <c r="N3" s="109"/>
      <c r="O3" s="109"/>
      <c r="P3" s="108"/>
    </row>
    <row r="4" spans="1:16" ht="12.75">
      <c r="A4" s="111" t="s">
        <v>224</v>
      </c>
      <c r="B4" s="108"/>
      <c r="C4" s="108"/>
      <c r="D4" s="108"/>
      <c r="E4" s="108"/>
      <c r="F4" s="108"/>
      <c r="G4" s="108"/>
      <c r="H4" s="108"/>
      <c r="I4" s="108"/>
      <c r="J4" s="108"/>
      <c r="K4" s="108"/>
      <c r="L4" s="108"/>
      <c r="M4" s="108"/>
      <c r="N4" s="108"/>
      <c r="O4" s="108"/>
      <c r="P4" s="108"/>
    </row>
    <row r="5" spans="1:16" ht="12.75">
      <c r="A5" s="108" t="s">
        <v>251</v>
      </c>
      <c r="B5" s="108"/>
      <c r="C5" s="108"/>
      <c r="D5" s="108"/>
      <c r="E5" s="108"/>
      <c r="F5" s="108"/>
      <c r="G5" s="108"/>
      <c r="H5" s="108"/>
      <c r="I5" s="108"/>
      <c r="J5" s="108"/>
      <c r="K5" s="108"/>
      <c r="L5" s="108"/>
      <c r="M5" s="108"/>
      <c r="N5" s="108"/>
      <c r="O5" s="108"/>
      <c r="P5" s="108"/>
    </row>
    <row r="6" spans="1:16" ht="12.75">
      <c r="A6" s="108" t="s">
        <v>237</v>
      </c>
      <c r="B6" s="108"/>
      <c r="C6" s="108"/>
      <c r="D6" s="108"/>
      <c r="E6" s="108"/>
      <c r="F6" s="108"/>
      <c r="G6" s="108"/>
      <c r="H6" s="108"/>
      <c r="I6" s="108"/>
      <c r="J6" s="108"/>
      <c r="K6" s="108"/>
      <c r="L6" s="108"/>
      <c r="M6" s="108"/>
      <c r="N6" s="108"/>
      <c r="O6" s="108"/>
      <c r="P6" s="108"/>
    </row>
    <row r="7" spans="1:16" ht="12.75">
      <c r="A7" s="146" t="s">
        <v>225</v>
      </c>
      <c r="B7" s="146"/>
      <c r="C7" s="146"/>
      <c r="D7" s="146"/>
      <c r="E7" s="146"/>
      <c r="F7" s="146"/>
      <c r="G7" s="146"/>
      <c r="H7" s="146"/>
      <c r="I7" s="146"/>
      <c r="J7" s="146"/>
      <c r="K7" s="146"/>
      <c r="L7" s="146"/>
      <c r="M7" s="146"/>
      <c r="N7" s="146"/>
      <c r="O7" s="146"/>
      <c r="P7" s="108"/>
    </row>
    <row r="8" spans="1:16" ht="12.75">
      <c r="A8" s="146"/>
      <c r="B8" s="146"/>
      <c r="C8" s="146"/>
      <c r="D8" s="146"/>
      <c r="E8" s="146"/>
      <c r="F8" s="146"/>
      <c r="G8" s="146"/>
      <c r="H8" s="146"/>
      <c r="I8" s="146"/>
      <c r="J8" s="146"/>
      <c r="K8" s="146"/>
      <c r="L8" s="146"/>
      <c r="M8" s="146"/>
      <c r="N8" s="146"/>
      <c r="O8" s="146"/>
      <c r="P8" s="108"/>
    </row>
    <row r="9" spans="1:16" ht="12.75">
      <c r="A9" s="111" t="s">
        <v>233</v>
      </c>
      <c r="B9" s="108"/>
      <c r="C9" s="108"/>
      <c r="D9" s="108"/>
      <c r="E9" s="108"/>
      <c r="F9" s="108"/>
      <c r="G9" s="108"/>
      <c r="H9" s="108"/>
      <c r="I9" s="108"/>
      <c r="J9" s="108"/>
      <c r="K9" s="108"/>
      <c r="L9" s="108"/>
      <c r="M9" s="108"/>
      <c r="N9" s="108"/>
      <c r="O9" s="108"/>
      <c r="P9" s="108"/>
    </row>
    <row r="10" spans="1:16" ht="12.75">
      <c r="A10" s="146" t="s">
        <v>252</v>
      </c>
      <c r="B10" s="146"/>
      <c r="C10" s="146"/>
      <c r="D10" s="146"/>
      <c r="E10" s="146"/>
      <c r="F10" s="146"/>
      <c r="G10" s="146"/>
      <c r="H10" s="146"/>
      <c r="I10" s="146"/>
      <c r="J10" s="146"/>
      <c r="K10" s="146"/>
      <c r="L10" s="146"/>
      <c r="M10" s="146"/>
      <c r="N10" s="146"/>
      <c r="O10" s="146"/>
      <c r="P10" s="108"/>
    </row>
    <row r="11" spans="1:16" ht="12.75">
      <c r="A11" s="146"/>
      <c r="B11" s="146"/>
      <c r="C11" s="146"/>
      <c r="D11" s="146"/>
      <c r="E11" s="146"/>
      <c r="F11" s="146"/>
      <c r="G11" s="146"/>
      <c r="H11" s="146"/>
      <c r="I11" s="146"/>
      <c r="J11" s="146"/>
      <c r="K11" s="146"/>
      <c r="L11" s="146"/>
      <c r="M11" s="146"/>
      <c r="N11" s="146"/>
      <c r="O11" s="146"/>
      <c r="P11" s="108"/>
    </row>
    <row r="12" spans="1:16" ht="12.75">
      <c r="A12" s="111" t="s">
        <v>232</v>
      </c>
      <c r="B12" s="108"/>
      <c r="C12" s="108"/>
      <c r="D12" s="108"/>
      <c r="E12" s="108"/>
      <c r="F12" s="108"/>
      <c r="G12" s="108"/>
      <c r="H12" s="108"/>
      <c r="I12" s="108"/>
      <c r="J12" s="108"/>
      <c r="K12" s="108"/>
      <c r="L12" s="108"/>
      <c r="M12" s="108"/>
      <c r="N12" s="108"/>
      <c r="O12" s="108"/>
      <c r="P12" s="108"/>
    </row>
    <row r="13" spans="1:16" ht="12.75">
      <c r="A13" s="108" t="s">
        <v>226</v>
      </c>
      <c r="B13" s="108"/>
      <c r="C13" s="108"/>
      <c r="D13" s="108"/>
      <c r="E13" s="108"/>
      <c r="F13" s="108"/>
      <c r="G13" s="108"/>
      <c r="H13" s="108"/>
      <c r="I13" s="108"/>
      <c r="J13" s="108"/>
      <c r="K13" s="108"/>
      <c r="L13" s="108"/>
      <c r="M13" s="108"/>
      <c r="N13" s="108"/>
      <c r="O13" s="108"/>
      <c r="P13" s="108"/>
    </row>
    <row r="14" spans="1:16" ht="12.75">
      <c r="A14" s="111" t="s">
        <v>231</v>
      </c>
      <c r="B14" s="108"/>
      <c r="C14" s="108"/>
      <c r="D14" s="108"/>
      <c r="E14" s="108"/>
      <c r="F14" s="108"/>
      <c r="G14" s="108"/>
      <c r="H14" s="108"/>
      <c r="I14" s="108"/>
      <c r="J14" s="108"/>
      <c r="K14" s="108"/>
      <c r="L14" s="108"/>
      <c r="M14" s="108"/>
      <c r="N14" s="108"/>
      <c r="O14" s="108"/>
      <c r="P14" s="108"/>
    </row>
    <row r="15" spans="1:16" ht="12.75">
      <c r="A15" s="146" t="s">
        <v>227</v>
      </c>
      <c r="B15" s="149"/>
      <c r="C15" s="149"/>
      <c r="D15" s="149"/>
      <c r="E15" s="149"/>
      <c r="F15" s="149"/>
      <c r="G15" s="149"/>
      <c r="H15" s="149"/>
      <c r="I15" s="149"/>
      <c r="J15" s="149"/>
      <c r="K15" s="149"/>
      <c r="L15" s="149"/>
      <c r="M15" s="149"/>
      <c r="N15" s="149"/>
      <c r="O15" s="149"/>
      <c r="P15" s="108"/>
    </row>
    <row r="16" spans="1:16" ht="12.75">
      <c r="A16" s="149"/>
      <c r="B16" s="149"/>
      <c r="C16" s="149"/>
      <c r="D16" s="149"/>
      <c r="E16" s="149"/>
      <c r="F16" s="149"/>
      <c r="G16" s="149"/>
      <c r="H16" s="149"/>
      <c r="I16" s="149"/>
      <c r="J16" s="149"/>
      <c r="K16" s="149"/>
      <c r="L16" s="149"/>
      <c r="M16" s="149"/>
      <c r="N16" s="149"/>
      <c r="O16" s="149"/>
      <c r="P16" s="108"/>
    </row>
    <row r="17" spans="1:16" ht="12.75">
      <c r="A17" s="111" t="s">
        <v>228</v>
      </c>
      <c r="B17" s="108"/>
      <c r="C17" s="108"/>
      <c r="D17" s="108"/>
      <c r="E17" s="108"/>
      <c r="F17" s="108"/>
      <c r="G17" s="108"/>
      <c r="H17" s="108"/>
      <c r="I17" s="108"/>
      <c r="J17" s="108"/>
      <c r="K17" s="108"/>
      <c r="L17" s="108"/>
      <c r="M17" s="108"/>
      <c r="N17" s="108"/>
      <c r="O17" s="108"/>
      <c r="P17" s="108"/>
    </row>
    <row r="18" spans="1:16" ht="12.75">
      <c r="A18" s="108" t="s">
        <v>238</v>
      </c>
      <c r="B18" s="108"/>
      <c r="C18" s="108"/>
      <c r="D18" s="108"/>
      <c r="E18" s="108"/>
      <c r="F18" s="108"/>
      <c r="G18" s="108"/>
      <c r="H18" s="108"/>
      <c r="I18" s="108"/>
      <c r="J18" s="108"/>
      <c r="K18" s="108"/>
      <c r="L18" s="108"/>
      <c r="M18" s="108"/>
      <c r="N18" s="108"/>
      <c r="O18" s="108"/>
      <c r="P18" s="108"/>
    </row>
    <row r="19" spans="1:16" ht="12.75">
      <c r="A19" s="108" t="s">
        <v>239</v>
      </c>
      <c r="B19" s="108"/>
      <c r="C19" s="108"/>
      <c r="D19" s="108"/>
      <c r="E19" s="108"/>
      <c r="F19" s="108"/>
      <c r="G19" s="108"/>
      <c r="H19" s="108"/>
      <c r="I19" s="108"/>
      <c r="J19" s="108"/>
      <c r="K19" s="108"/>
      <c r="L19" s="108"/>
      <c r="M19" s="108"/>
      <c r="N19" s="108"/>
      <c r="O19" s="108"/>
      <c r="P19" s="108"/>
    </row>
    <row r="20" spans="1:16" ht="12.75">
      <c r="A20" s="108" t="s">
        <v>240</v>
      </c>
      <c r="B20" s="108"/>
      <c r="C20" s="108"/>
      <c r="D20" s="108"/>
      <c r="E20" s="108"/>
      <c r="F20" s="108"/>
      <c r="G20" s="108"/>
      <c r="H20" s="108"/>
      <c r="I20" s="108"/>
      <c r="J20" s="108"/>
      <c r="K20" s="108"/>
      <c r="L20" s="108"/>
      <c r="M20" s="108"/>
      <c r="N20" s="108"/>
      <c r="O20" s="108"/>
      <c r="P20" s="108"/>
    </row>
    <row r="21" spans="1:16" ht="12.75">
      <c r="A21" s="108" t="s">
        <v>249</v>
      </c>
      <c r="B21" s="108"/>
      <c r="C21" s="108"/>
      <c r="D21" s="108"/>
      <c r="E21" s="108"/>
      <c r="F21" s="108"/>
      <c r="G21" s="108"/>
      <c r="H21" s="108"/>
      <c r="I21" s="108"/>
      <c r="J21" s="108"/>
      <c r="K21" s="108"/>
      <c r="L21" s="108"/>
      <c r="M21" s="108"/>
      <c r="N21" s="108"/>
      <c r="O21" s="108"/>
      <c r="P21" s="108"/>
    </row>
    <row r="22" spans="1:16" ht="12.75">
      <c r="A22" s="108" t="s">
        <v>241</v>
      </c>
      <c r="B22" s="108"/>
      <c r="C22" s="108"/>
      <c r="D22" s="108"/>
      <c r="E22" s="108"/>
      <c r="F22" s="108"/>
      <c r="G22" s="108"/>
      <c r="H22" s="108"/>
      <c r="I22" s="108"/>
      <c r="J22" s="108"/>
      <c r="K22" s="108"/>
      <c r="L22" s="108"/>
      <c r="M22" s="108"/>
      <c r="N22" s="108"/>
      <c r="O22" s="108"/>
      <c r="P22" s="108"/>
    </row>
    <row r="23" spans="1:16" ht="12.75">
      <c r="A23" s="108" t="s">
        <v>250</v>
      </c>
      <c r="B23" s="108"/>
      <c r="C23" s="108"/>
      <c r="D23" s="108"/>
      <c r="E23" s="108"/>
      <c r="F23" s="108"/>
      <c r="G23" s="108"/>
      <c r="H23" s="108"/>
      <c r="I23" s="108"/>
      <c r="J23" s="108"/>
      <c r="K23" s="108"/>
      <c r="L23" s="108"/>
      <c r="M23" s="108"/>
      <c r="N23" s="108"/>
      <c r="O23" s="108"/>
      <c r="P23" s="108"/>
    </row>
    <row r="24" spans="1:16" ht="12.75">
      <c r="A24" s="111" t="s">
        <v>229</v>
      </c>
      <c r="B24" s="108"/>
      <c r="C24" s="108"/>
      <c r="D24" s="108"/>
      <c r="E24" s="108"/>
      <c r="F24" s="108"/>
      <c r="G24" s="108"/>
      <c r="H24" s="108"/>
      <c r="I24" s="108"/>
      <c r="J24" s="108"/>
      <c r="K24" s="108"/>
      <c r="L24" s="108"/>
      <c r="M24" s="108"/>
      <c r="N24" s="108"/>
      <c r="O24" s="108"/>
      <c r="P24" s="108"/>
    </row>
    <row r="25" spans="1:16" ht="15.75">
      <c r="A25" s="108" t="s">
        <v>242</v>
      </c>
      <c r="B25" s="108"/>
      <c r="C25" s="108"/>
      <c r="D25" s="108"/>
      <c r="E25" s="108"/>
      <c r="F25" s="108"/>
      <c r="G25" s="108"/>
      <c r="H25" s="108"/>
      <c r="I25" s="108"/>
      <c r="J25" s="108"/>
      <c r="K25" s="108"/>
      <c r="L25" s="108"/>
      <c r="M25" s="108"/>
      <c r="N25" s="108"/>
      <c r="O25" s="108"/>
      <c r="P25" s="108"/>
    </row>
    <row r="26" spans="1:16" ht="12.75">
      <c r="A26" s="108" t="s">
        <v>230</v>
      </c>
      <c r="B26" s="108"/>
      <c r="C26" s="108"/>
      <c r="D26" s="108"/>
      <c r="E26" s="108"/>
      <c r="F26" s="108"/>
      <c r="G26" s="108"/>
      <c r="H26" s="108"/>
      <c r="I26" s="108"/>
      <c r="J26" s="108"/>
      <c r="K26" s="108"/>
      <c r="L26" s="108"/>
      <c r="M26" s="108"/>
      <c r="N26" s="108"/>
      <c r="O26" s="108"/>
      <c r="P26" s="108"/>
    </row>
    <row r="27" spans="1:16" ht="12.75">
      <c r="A27" s="111" t="s">
        <v>234</v>
      </c>
      <c r="B27" s="108"/>
      <c r="C27" s="108"/>
      <c r="D27" s="108"/>
      <c r="E27" s="108"/>
      <c r="F27" s="108"/>
      <c r="G27" s="108"/>
      <c r="H27" s="108"/>
      <c r="I27" s="108"/>
      <c r="J27" s="108"/>
      <c r="K27" s="108"/>
      <c r="L27" s="108"/>
      <c r="M27" s="108"/>
      <c r="N27" s="108"/>
      <c r="O27" s="108"/>
      <c r="P27" s="108"/>
    </row>
    <row r="28" spans="1:16" ht="12.75">
      <c r="A28" s="139" t="s">
        <v>236</v>
      </c>
      <c r="B28" s="108"/>
      <c r="C28" s="108"/>
      <c r="D28" s="108"/>
      <c r="E28" s="108"/>
      <c r="F28" s="108"/>
      <c r="G28" s="108"/>
      <c r="H28" s="108"/>
      <c r="I28" s="108"/>
      <c r="J28" s="108"/>
      <c r="K28" s="108"/>
      <c r="L28" s="108"/>
      <c r="M28" s="108"/>
      <c r="N28" s="108"/>
      <c r="O28" s="108"/>
      <c r="P28" s="108"/>
    </row>
    <row r="29" spans="1:16" ht="12.75">
      <c r="A29" s="139" t="s">
        <v>247</v>
      </c>
      <c r="B29" s="108"/>
      <c r="C29" s="108"/>
      <c r="D29" s="108"/>
      <c r="E29" s="108"/>
      <c r="F29" s="108"/>
      <c r="G29" s="108"/>
      <c r="H29" s="108"/>
      <c r="I29" s="108"/>
      <c r="J29" s="108"/>
      <c r="K29" s="108"/>
      <c r="L29" s="108"/>
      <c r="M29" s="108"/>
      <c r="N29" s="108"/>
      <c r="O29" s="108"/>
      <c r="P29" s="108"/>
    </row>
    <row r="30" spans="1:16" ht="12.75">
      <c r="A30" s="108" t="s">
        <v>246</v>
      </c>
      <c r="B30" s="108"/>
      <c r="C30" s="108"/>
      <c r="D30" s="108"/>
      <c r="E30" s="108"/>
      <c r="F30" s="108"/>
      <c r="G30" s="108"/>
      <c r="H30" s="108"/>
      <c r="I30" s="108"/>
      <c r="J30" s="108"/>
      <c r="K30" s="108"/>
      <c r="L30" s="108"/>
      <c r="M30" s="108"/>
      <c r="N30" s="108"/>
      <c r="O30" s="108"/>
      <c r="P30" s="108"/>
    </row>
    <row r="31" spans="1:16" ht="12.75">
      <c r="A31" s="111" t="s">
        <v>235</v>
      </c>
      <c r="B31" s="108"/>
      <c r="C31" s="108"/>
      <c r="D31" s="108"/>
      <c r="E31" s="108"/>
      <c r="F31" s="108"/>
      <c r="G31" s="108"/>
      <c r="H31" s="108"/>
      <c r="I31" s="108"/>
      <c r="J31" s="108"/>
      <c r="K31" s="108"/>
      <c r="L31" s="108"/>
      <c r="M31" s="108"/>
      <c r="N31" s="108"/>
      <c r="O31" s="108"/>
      <c r="P31" s="108"/>
    </row>
    <row r="32" spans="1:16" ht="12.75">
      <c r="A32" s="108"/>
      <c r="B32" s="108"/>
      <c r="C32" s="108"/>
      <c r="D32" s="108"/>
      <c r="E32" s="108"/>
      <c r="F32" s="108"/>
      <c r="G32" s="108"/>
      <c r="H32" s="108"/>
      <c r="I32" s="108"/>
      <c r="J32" s="108"/>
      <c r="K32" s="108"/>
      <c r="L32" s="108"/>
      <c r="M32" s="108"/>
      <c r="N32" s="108"/>
      <c r="O32" s="108"/>
      <c r="P32" s="108"/>
    </row>
    <row r="33" spans="1:16" ht="12.75">
      <c r="A33" s="108"/>
      <c r="B33" s="108"/>
      <c r="C33" s="108"/>
      <c r="D33" s="108"/>
      <c r="E33" s="108"/>
      <c r="F33" s="108"/>
      <c r="G33" s="108"/>
      <c r="H33" s="108"/>
      <c r="I33" s="108"/>
      <c r="J33" s="108"/>
      <c r="K33" s="108"/>
      <c r="L33" s="108"/>
      <c r="M33" s="108"/>
      <c r="N33" s="108"/>
      <c r="O33" s="108"/>
      <c r="P33" s="108"/>
    </row>
    <row r="34" spans="1:16" ht="12.75">
      <c r="A34" s="108"/>
      <c r="B34" s="108"/>
      <c r="C34" s="108"/>
      <c r="D34" s="108"/>
      <c r="E34" s="108"/>
      <c r="F34" s="108"/>
      <c r="G34" s="108"/>
      <c r="H34" s="108"/>
      <c r="I34" s="108"/>
      <c r="J34" s="108"/>
      <c r="K34" s="108"/>
      <c r="L34" s="108"/>
      <c r="M34" s="108"/>
      <c r="N34" s="108"/>
      <c r="O34" s="108"/>
      <c r="P34" s="108"/>
    </row>
    <row r="35" spans="1:16" ht="12.75">
      <c r="A35" s="108"/>
      <c r="B35" s="108"/>
      <c r="C35" s="108"/>
      <c r="D35" s="108"/>
      <c r="E35" s="108"/>
      <c r="F35" s="108"/>
      <c r="G35" s="108"/>
      <c r="H35" s="108"/>
      <c r="I35" s="108"/>
      <c r="J35" s="108"/>
      <c r="K35" s="108"/>
      <c r="L35" s="108"/>
      <c r="M35" s="108"/>
      <c r="N35" s="108"/>
      <c r="O35" s="108"/>
      <c r="P35" s="108"/>
    </row>
    <row r="36" spans="1:16" ht="12.75">
      <c r="A36" s="108"/>
      <c r="B36" s="108"/>
      <c r="C36" s="108"/>
      <c r="D36" s="108"/>
      <c r="E36" s="108"/>
      <c r="F36" s="108"/>
      <c r="G36" s="108"/>
      <c r="H36" s="108"/>
      <c r="I36" s="108"/>
      <c r="J36" s="108"/>
      <c r="K36" s="108"/>
      <c r="L36" s="108"/>
      <c r="M36" s="108"/>
      <c r="N36" s="108"/>
      <c r="O36" s="108"/>
      <c r="P36" s="108"/>
    </row>
  </sheetData>
  <sheetProtection password="C1A6" sheet="1" objects="1" scenarios="1" selectLockedCells="1" selectUnlockedCells="1"/>
  <mergeCells count="4">
    <mergeCell ref="A15:O16"/>
    <mergeCell ref="A1:O2"/>
    <mergeCell ref="A7:O8"/>
    <mergeCell ref="A10:O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47"/>
  </sheetPr>
  <dimension ref="A1:K83"/>
  <sheetViews>
    <sheetView tabSelected="1" zoomScalePageLayoutView="0" workbookViewId="0" topLeftCell="A15">
      <selection activeCell="C35" sqref="C35"/>
    </sheetView>
  </sheetViews>
  <sheetFormatPr defaultColWidth="9.140625" defaultRowHeight="12.75"/>
  <cols>
    <col min="1" max="1" width="18.57421875" style="0" customWidth="1"/>
    <col min="2" max="2" width="28.7109375" style="0" customWidth="1"/>
    <col min="3" max="3" width="18.421875" style="0" customWidth="1"/>
    <col min="4" max="4" width="21.8515625" style="0" customWidth="1"/>
    <col min="5" max="5" width="1.421875" style="0" customWidth="1"/>
    <col min="6" max="6" width="22.140625" style="0" customWidth="1"/>
    <col min="7" max="7" width="18.28125" style="0" customWidth="1"/>
  </cols>
  <sheetData>
    <row r="1" spans="1:11" ht="18">
      <c r="A1" s="175" t="s">
        <v>53</v>
      </c>
      <c r="B1" s="175"/>
      <c r="C1" s="175"/>
      <c r="D1" s="175"/>
      <c r="E1" s="144"/>
      <c r="F1" s="144"/>
      <c r="G1" s="144"/>
      <c r="H1" s="144"/>
      <c r="I1" s="144"/>
      <c r="J1" s="4"/>
      <c r="K1" s="4"/>
    </row>
    <row r="2" spans="1:11" ht="12.75">
      <c r="A2" s="167" t="s">
        <v>73</v>
      </c>
      <c r="B2" s="14" t="s">
        <v>217</v>
      </c>
      <c r="C2" s="34" t="s">
        <v>154</v>
      </c>
      <c r="D2" s="14"/>
      <c r="E2" s="144"/>
      <c r="F2" s="144"/>
      <c r="G2" s="144"/>
      <c r="H2" s="144"/>
      <c r="I2" s="144"/>
      <c r="J2" s="4"/>
      <c r="K2" s="4"/>
    </row>
    <row r="3" spans="1:11" ht="12.75">
      <c r="A3" s="168"/>
      <c r="B3" s="15" t="s">
        <v>76</v>
      </c>
      <c r="C3" s="35" t="s">
        <v>64</v>
      </c>
      <c r="D3" s="15"/>
      <c r="E3" s="144"/>
      <c r="F3" s="144"/>
      <c r="G3" s="144"/>
      <c r="H3" s="144"/>
      <c r="I3" s="144"/>
      <c r="J3" s="4"/>
      <c r="K3" s="4"/>
    </row>
    <row r="4" spans="1:11" ht="12.75">
      <c r="A4" s="168"/>
      <c r="B4" s="15" t="s">
        <v>77</v>
      </c>
      <c r="C4" s="5">
        <f>G11</f>
        <v>653.2</v>
      </c>
      <c r="D4" s="15"/>
      <c r="E4" s="144"/>
      <c r="F4" s="151" t="s">
        <v>54</v>
      </c>
      <c r="G4" s="152"/>
      <c r="H4" s="144"/>
      <c r="I4" s="144"/>
      <c r="J4" s="4"/>
      <c r="K4" s="4"/>
    </row>
    <row r="5" spans="1:11" ht="12.75">
      <c r="A5" s="169"/>
      <c r="B5" s="18" t="s">
        <v>0</v>
      </c>
      <c r="C5" s="3">
        <f>IF($C$2="Liquid",VLOOKUP(ANIMAL,'Haul Output'!X96:'Haul Output'!Z107,3,FALSE)*C4/1000,IF($C$2="Solid",VLOOKUP(ANIMAL,'Haul Output'!X96:'Haul Output'!Z107,2,FALSE)*C4))</f>
        <v>2360.6648000000005</v>
      </c>
      <c r="D5" s="17" t="str">
        <f>IF($C$2="Liquid",'Haul Output'!$O$92,IF($C$2="Solid",'Haul Output'!$O$93,'Haul Output'!$P$92))</f>
        <v>thousand gallons</v>
      </c>
      <c r="E5" s="144"/>
      <c r="F5" s="14" t="s">
        <v>173</v>
      </c>
      <c r="G5" s="47">
        <v>320</v>
      </c>
      <c r="H5" s="144"/>
      <c r="I5" s="144"/>
      <c r="J5" s="4"/>
      <c r="K5" s="4"/>
    </row>
    <row r="6" spans="1:11" ht="12.75">
      <c r="A6" s="161" t="s">
        <v>74</v>
      </c>
      <c r="B6" s="14" t="s">
        <v>78</v>
      </c>
      <c r="C6" s="36">
        <v>55</v>
      </c>
      <c r="D6" s="16" t="str">
        <f>IF($C$2="Liquid",'Haul Output'!$O$105,IF($C$2="Solid",'Haul Output'!$O$106,'Haul Output'!$P$92))</f>
        <v>lbs. per thousand gallons</v>
      </c>
      <c r="E6" s="144"/>
      <c r="F6" s="15" t="s">
        <v>176</v>
      </c>
      <c r="G6" s="47">
        <v>1400</v>
      </c>
      <c r="H6" s="144"/>
      <c r="I6" s="144"/>
      <c r="J6" s="4"/>
      <c r="K6" s="4"/>
    </row>
    <row r="7" spans="1:11" ht="12.75">
      <c r="A7" s="176"/>
      <c r="B7" s="15" t="s">
        <v>79</v>
      </c>
      <c r="C7" s="36">
        <v>6</v>
      </c>
      <c r="D7" s="16" t="str">
        <f>IF($C$2="Liquid",'Haul Output'!$O$105,IF($C$2="Solid",'Haul Output'!$O$106,'Haul Output'!$P$92))</f>
        <v>lbs. per thousand gallons</v>
      </c>
      <c r="E7" s="144"/>
      <c r="F7" s="15" t="s">
        <v>174</v>
      </c>
      <c r="G7" s="47">
        <v>200</v>
      </c>
      <c r="H7" s="144"/>
      <c r="I7" s="144"/>
      <c r="J7" s="4"/>
      <c r="K7" s="4"/>
    </row>
    <row r="8" spans="1:11" ht="12.75">
      <c r="A8" s="176"/>
      <c r="B8" s="15" t="s">
        <v>80</v>
      </c>
      <c r="C8" s="36">
        <v>27</v>
      </c>
      <c r="D8" s="16" t="str">
        <f>IF($C$2="Liquid",'Haul Output'!$O$105,IF($C$2="Solid",'Haul Output'!$O$106,'Haul Output'!$P$92))</f>
        <v>lbs. per thousand gallons</v>
      </c>
      <c r="E8" s="144"/>
      <c r="F8" s="15" t="s">
        <v>177</v>
      </c>
      <c r="G8" s="47">
        <v>900</v>
      </c>
      <c r="H8" s="144"/>
      <c r="I8" s="144"/>
      <c r="J8" s="4"/>
      <c r="K8" s="4"/>
    </row>
    <row r="9" spans="1:11" ht="15.75">
      <c r="A9" s="162"/>
      <c r="B9" s="15" t="s">
        <v>147</v>
      </c>
      <c r="C9" s="36">
        <v>63</v>
      </c>
      <c r="D9" s="16" t="str">
        <f>IF($C$2="Liquid",'Haul Output'!$O$105,IF($C$2="Solid",'Haul Output'!$O$106,'Haul Output'!$P$92))</f>
        <v>lbs. per thousand gallons</v>
      </c>
      <c r="E9" s="144"/>
      <c r="F9" s="15" t="s">
        <v>175</v>
      </c>
      <c r="G9" s="47">
        <v>140</v>
      </c>
      <c r="H9" s="144"/>
      <c r="I9" s="144"/>
      <c r="J9" s="4"/>
      <c r="K9" s="4"/>
    </row>
    <row r="10" spans="1:11" ht="15.75">
      <c r="A10" s="163"/>
      <c r="B10" s="18" t="s">
        <v>148</v>
      </c>
      <c r="C10" s="36">
        <v>34</v>
      </c>
      <c r="D10" s="17" t="str">
        <f>IF($C$2="Liquid",'Haul Output'!$O$105,IF($C$2="Solid",'Haul Output'!$O$106,'Haul Output'!$P$92))</f>
        <v>lbs. per thousand gallons</v>
      </c>
      <c r="E10" s="144"/>
      <c r="F10" s="15" t="s">
        <v>178</v>
      </c>
      <c r="G10" s="47">
        <v>180</v>
      </c>
      <c r="H10" s="144"/>
      <c r="I10" s="144"/>
      <c r="J10" s="4"/>
      <c r="K10" s="4"/>
    </row>
    <row r="11" spans="1:11" ht="12.75">
      <c r="A11" s="170" t="s">
        <v>6</v>
      </c>
      <c r="B11" s="170"/>
      <c r="C11" s="170"/>
      <c r="D11" s="171"/>
      <c r="E11" s="144"/>
      <c r="F11" s="25" t="s">
        <v>146</v>
      </c>
      <c r="G11" s="6">
        <f>(G5*G6+G7*G8+G9*G10)/1000</f>
        <v>653.2</v>
      </c>
      <c r="H11" s="144"/>
      <c r="I11" s="144"/>
      <c r="J11" s="4"/>
      <c r="K11" s="4"/>
    </row>
    <row r="12" spans="1:11" ht="12.75">
      <c r="A12" s="161" t="s">
        <v>75</v>
      </c>
      <c r="B12" s="14" t="s">
        <v>78</v>
      </c>
      <c r="C12" s="5">
        <f>IF($C$2="Liquid",IF($C$6=0,(VLOOKUP(ANIMAL,'Haul Output'!$X$96:'Haul Output'!$AG$107,8,FALSE)),0),IF($C$2="Solid",IF($C$6=0,(VLOOKUP(ANIMAL,'Haul Output'!$X$96:'Haul Output'!$AG$107,5,FALSE)),0)))</f>
        <v>0</v>
      </c>
      <c r="D12" s="14" t="str">
        <f>IF($C$2="Liquid",'Haul Output'!$O$105,IF($C$2="Solid",'Haul Output'!$O$106,'Haul Output'!$P$92))</f>
        <v>lbs. per thousand gallons</v>
      </c>
      <c r="E12" s="144"/>
      <c r="F12" s="158"/>
      <c r="G12" s="159"/>
      <c r="H12" s="144"/>
      <c r="I12" s="144"/>
      <c r="J12" s="4"/>
      <c r="K12" s="4"/>
    </row>
    <row r="13" spans="1:11" ht="12.75">
      <c r="A13" s="162"/>
      <c r="B13" s="15" t="s">
        <v>79</v>
      </c>
      <c r="C13" s="5">
        <f>IF($C$2="Liquid",IF($C$6=0,(VLOOKUP(ANIMAL,'Haul Output'!$X$96:'Haul Output'!$AI$107,11,FALSE)),0),IF($C$2="Solid",IF($C$6=0,(VLOOKUP(ANIMAL,'Haul Output'!$X$96:'Haul Output'!$AI$107,12,FALSE)),0)))</f>
        <v>0</v>
      </c>
      <c r="D13" s="15" t="str">
        <f>IF($C$2="Liquid",'Haul Output'!$O$105,IF($C$2="Solid",'Haul Output'!$O$106,'Haul Output'!$P$92))</f>
        <v>lbs. per thousand gallons</v>
      </c>
      <c r="E13" s="144"/>
      <c r="F13" s="144"/>
      <c r="G13" s="144"/>
      <c r="H13" s="144"/>
      <c r="I13" s="144"/>
      <c r="J13" s="4"/>
      <c r="K13" s="4"/>
    </row>
    <row r="14" spans="1:11" ht="12.75">
      <c r="A14" s="162"/>
      <c r="B14" s="15" t="s">
        <v>80</v>
      </c>
      <c r="C14" s="5">
        <f>IF($C$2="Liquid",IF($C$6=0,(VLOOKUP(ANIMAL,'Haul Output'!$X$96:'Haul Output'!$AM$107,16,FALSE)),0),IF($C$2="Solid",IF($C$6=0,(VLOOKUP(ANIMAL,'Haul Output'!$X$96:'Haul Output'!$AM$107,15,FALSE)),0)))</f>
        <v>0</v>
      </c>
      <c r="D14" s="15" t="str">
        <f>IF($C$2="Liquid",'Haul Output'!$O$105,IF($C$2="Solid",'Haul Output'!$O$106,'Haul Output'!$P$92))</f>
        <v>lbs. per thousand gallons</v>
      </c>
      <c r="E14" s="144"/>
      <c r="F14" s="144"/>
      <c r="G14" s="144"/>
      <c r="H14" s="144"/>
      <c r="I14" s="144"/>
      <c r="J14" s="4"/>
      <c r="K14" s="4"/>
    </row>
    <row r="15" spans="1:11" ht="15.75">
      <c r="A15" s="162"/>
      <c r="B15" s="15" t="s">
        <v>147</v>
      </c>
      <c r="C15" s="5">
        <f>IF($C$2="Liquid",IF($C$6=0,(VLOOKUP(ANIMAL,'Haul Output'!$X$96:'Haul Output'!$AG$107,9,FALSE)),0),IF($C$2="Solid",IF($C$6=0,(VLOOKUP(ANIMAL,'Haul Output'!$X$96:'Haul Output'!$AG$107,6,FALSE)),0)))</f>
        <v>0</v>
      </c>
      <c r="D15" s="15" t="str">
        <f>IF($C$2="Liquid",'Haul Output'!$O$105,IF($C$2="Solid",'Haul Output'!$O$106,'Haul Output'!$P$92))</f>
        <v>lbs. per thousand gallons</v>
      </c>
      <c r="E15" s="144"/>
      <c r="F15" s="144"/>
      <c r="G15" s="144"/>
      <c r="H15" s="144"/>
      <c r="I15" s="144"/>
      <c r="J15" s="4"/>
      <c r="K15" s="4"/>
    </row>
    <row r="16" spans="1:11" ht="15.75">
      <c r="A16" s="163"/>
      <c r="B16" s="18" t="s">
        <v>148</v>
      </c>
      <c r="C16" s="5">
        <f>IF($C$2="Liquid",IF($C$6=0,(VLOOKUP(ANIMAL,'Haul Output'!$X$96:'Haul Output'!$AG$107,10,FALSE)),0),IF($C$2="Solid",IF($C$6=0,(VLOOKUP(ANIMAL,'Haul Output'!$X$96:'Haul Output'!$AG$107,7,FALSE)),0)))</f>
        <v>0</v>
      </c>
      <c r="D16" s="15" t="str">
        <f>IF($C$2="Liquid",'Haul Output'!$O$105,IF($C$2="Solid",'Haul Output'!$O$106,'Haul Output'!$P$92))</f>
        <v>lbs. per thousand gallons</v>
      </c>
      <c r="E16" s="144"/>
      <c r="F16" s="144"/>
      <c r="G16" s="144"/>
      <c r="H16" s="144"/>
      <c r="I16" s="144"/>
      <c r="J16" s="4"/>
      <c r="K16" s="4"/>
    </row>
    <row r="17" spans="1:11" ht="12.75">
      <c r="A17" s="172" t="s">
        <v>142</v>
      </c>
      <c r="B17" s="14" t="s">
        <v>143</v>
      </c>
      <c r="C17" s="37"/>
      <c r="D17" s="14" t="str">
        <f>IF($C$2="Liquid",'Haul Output'!$O$107,IF($C$2="Solid",'Haul Output'!$O$108,'Haul Output'!$P$92))</f>
        <v>thousand gallons per acre</v>
      </c>
      <c r="E17" s="144"/>
      <c r="F17" s="144"/>
      <c r="G17" s="144"/>
      <c r="H17" s="144"/>
      <c r="I17" s="144"/>
      <c r="J17" s="4"/>
      <c r="K17" s="4"/>
    </row>
    <row r="18" spans="1:11" ht="12.75">
      <c r="A18" s="173"/>
      <c r="B18" s="15" t="s">
        <v>144</v>
      </c>
      <c r="C18" s="36"/>
      <c r="D18" s="15" t="str">
        <f>IF($C$2="Liquid",'Haul Output'!$O$107,IF($C$2="Solid",'Haul Output'!$O$108,'Haul Output'!$P$92))</f>
        <v>thousand gallons per acre</v>
      </c>
      <c r="E18" s="144"/>
      <c r="F18" s="144"/>
      <c r="G18" s="144"/>
      <c r="H18" s="144"/>
      <c r="I18" s="144"/>
      <c r="J18" s="4"/>
      <c r="K18" s="4"/>
    </row>
    <row r="19" spans="1:11" ht="12.75">
      <c r="A19" s="174"/>
      <c r="B19" s="18" t="s">
        <v>145</v>
      </c>
      <c r="C19" s="36"/>
      <c r="D19" s="18" t="str">
        <f>IF($C$2="Liquid",'Haul Output'!$O$107,IF($C$2="Solid",'Haul Output'!$O$108,'Haul Output'!$P$92))</f>
        <v>thousand gallons per acre</v>
      </c>
      <c r="E19" s="144"/>
      <c r="F19" s="160"/>
      <c r="G19" s="160"/>
      <c r="H19" s="144"/>
      <c r="I19" s="144"/>
      <c r="J19" s="4"/>
      <c r="K19" s="4"/>
    </row>
    <row r="20" spans="1:11" ht="12.75">
      <c r="A20" s="22" t="s">
        <v>159</v>
      </c>
      <c r="B20" s="20" t="s">
        <v>160</v>
      </c>
      <c r="C20" s="7">
        <f>G23</f>
        <v>40</v>
      </c>
      <c r="D20" s="20" t="s">
        <v>131</v>
      </c>
      <c r="E20" s="144"/>
      <c r="F20" s="151" t="s">
        <v>161</v>
      </c>
      <c r="G20" s="152"/>
      <c r="H20" s="144"/>
      <c r="I20" s="144"/>
      <c r="J20" s="4"/>
      <c r="K20" s="4"/>
    </row>
    <row r="21" spans="1:11" ht="12.75">
      <c r="A21" s="164" t="s">
        <v>3</v>
      </c>
      <c r="B21" s="14" t="s">
        <v>36</v>
      </c>
      <c r="C21" s="34" t="s">
        <v>27</v>
      </c>
      <c r="D21" s="21"/>
      <c r="E21" s="144"/>
      <c r="F21" s="14" t="s">
        <v>162</v>
      </c>
      <c r="G21" s="46" t="s">
        <v>169</v>
      </c>
      <c r="H21" s="144"/>
      <c r="I21" s="144"/>
      <c r="J21" s="4"/>
      <c r="K21" s="4"/>
    </row>
    <row r="22" spans="1:11" ht="12.75">
      <c r="A22" s="165"/>
      <c r="B22" s="15" t="s">
        <v>179</v>
      </c>
      <c r="C22" s="36">
        <v>25</v>
      </c>
      <c r="D22" s="16"/>
      <c r="E22" s="144"/>
      <c r="F22" s="15" t="s">
        <v>163</v>
      </c>
      <c r="G22" s="46">
        <v>25</v>
      </c>
      <c r="H22" s="144"/>
      <c r="I22" s="144"/>
      <c r="J22" s="4"/>
      <c r="K22" s="4"/>
    </row>
    <row r="23" spans="1:11" ht="12.75">
      <c r="A23" s="165"/>
      <c r="B23" s="15" t="s">
        <v>37</v>
      </c>
      <c r="C23" s="5">
        <f>MAX(0,IF(C8&gt;0,((VLOOKUP(CROPGROWN,'Haul Output'!U111:'Haul Output'!AM122,3,FALSE)-C17*C8*0.5-C18*C8*0.25-C19*C8*0.125-C20)),((VLOOKUP(CROPGROWN,'Haul Output'!U111:'Haul Output'!AM122,3,FALSE)-C17*C14*0.5-C18*C14*0.25-C19*C14*0.125-C20))))</f>
        <v>143.25</v>
      </c>
      <c r="D23" s="15" t="s">
        <v>131</v>
      </c>
      <c r="E23" s="144"/>
      <c r="F23" s="18" t="s">
        <v>159</v>
      </c>
      <c r="G23" s="8">
        <f>(VLOOKUP(NCROP,'Haul Output'!R108:'Haul Output'!S119,2,FALSE))</f>
        <v>40</v>
      </c>
      <c r="H23" s="144"/>
      <c r="I23" s="144"/>
      <c r="J23" s="4"/>
      <c r="K23" s="4"/>
    </row>
    <row r="24" spans="1:11" ht="15.75">
      <c r="A24" s="165"/>
      <c r="B24" s="15" t="s">
        <v>149</v>
      </c>
      <c r="C24" s="5">
        <f>VLOOKUP(CROPGROWN,'Haul Output'!U111:'Haul Output'!AG122,5,FALSE)*C22</f>
        <v>82.5</v>
      </c>
      <c r="D24" s="15" t="s">
        <v>131</v>
      </c>
      <c r="E24" s="144"/>
      <c r="F24" s="155"/>
      <c r="G24" s="155"/>
      <c r="H24" s="144"/>
      <c r="I24" s="144"/>
      <c r="J24" s="4"/>
      <c r="K24" s="4"/>
    </row>
    <row r="25" spans="1:11" ht="15.75">
      <c r="A25" s="165"/>
      <c r="B25" s="15" t="s">
        <v>150</v>
      </c>
      <c r="C25" s="11">
        <f>G28</f>
        <v>41.25</v>
      </c>
      <c r="D25" s="15" t="s">
        <v>131</v>
      </c>
      <c r="E25" s="144"/>
      <c r="F25" s="151" t="s">
        <v>193</v>
      </c>
      <c r="G25" s="152"/>
      <c r="H25" s="144"/>
      <c r="I25" s="144"/>
      <c r="J25" s="4"/>
      <c r="K25" s="4"/>
    </row>
    <row r="26" spans="1:11" ht="15.75">
      <c r="A26" s="166"/>
      <c r="B26" s="18" t="s">
        <v>151</v>
      </c>
      <c r="C26" s="12">
        <f>G34</f>
        <v>75</v>
      </c>
      <c r="D26" s="18" t="s">
        <v>131</v>
      </c>
      <c r="E26" s="144"/>
      <c r="F26" s="14" t="s">
        <v>180</v>
      </c>
      <c r="G26" s="9" t="str">
        <f>$C$21</f>
        <v>Corn for silage</v>
      </c>
      <c r="H26" s="144"/>
      <c r="I26" s="144"/>
      <c r="J26" s="4"/>
      <c r="K26" s="4"/>
    </row>
    <row r="27" spans="1:11" ht="12.75">
      <c r="A27" s="161" t="s">
        <v>35</v>
      </c>
      <c r="B27" s="14" t="s">
        <v>2</v>
      </c>
      <c r="C27" s="38">
        <v>0.4</v>
      </c>
      <c r="D27" s="14" t="s">
        <v>110</v>
      </c>
      <c r="E27" s="144"/>
      <c r="F27" s="15" t="s">
        <v>195</v>
      </c>
      <c r="G27" s="46">
        <v>35</v>
      </c>
      <c r="H27" s="144"/>
      <c r="I27" s="144"/>
      <c r="J27" s="4"/>
      <c r="K27" s="4"/>
    </row>
    <row r="28" spans="1:11" ht="15.75">
      <c r="A28" s="162"/>
      <c r="B28" s="15" t="s">
        <v>147</v>
      </c>
      <c r="C28" s="39">
        <v>0.25</v>
      </c>
      <c r="D28" s="15" t="s">
        <v>110</v>
      </c>
      <c r="E28" s="144"/>
      <c r="F28" s="18" t="s">
        <v>192</v>
      </c>
      <c r="G28" s="10">
        <f>(VLOOKUP(CROPGROWN,'Haul Output'!U111:'Haul Output'!AM122,11,FALSE))</f>
        <v>41.25</v>
      </c>
      <c r="H28" s="144"/>
      <c r="I28" s="144"/>
      <c r="J28" s="4"/>
      <c r="K28" s="4"/>
    </row>
    <row r="29" spans="1:11" ht="15" customHeight="1">
      <c r="A29" s="162"/>
      <c r="B29" s="15" t="s">
        <v>148</v>
      </c>
      <c r="C29" s="39">
        <v>0.2</v>
      </c>
      <c r="D29" s="15" t="s">
        <v>110</v>
      </c>
      <c r="E29" s="144"/>
      <c r="F29" s="155"/>
      <c r="G29" s="155"/>
      <c r="H29" s="144"/>
      <c r="I29" s="144"/>
      <c r="J29" s="4"/>
      <c r="K29" s="4"/>
    </row>
    <row r="30" spans="1:11" ht="15.75">
      <c r="A30" s="23"/>
      <c r="B30" s="24" t="s">
        <v>181</v>
      </c>
      <c r="C30" s="40">
        <v>4</v>
      </c>
      <c r="D30" s="18" t="s">
        <v>111</v>
      </c>
      <c r="E30" s="144"/>
      <c r="F30" s="156" t="s">
        <v>194</v>
      </c>
      <c r="G30" s="157"/>
      <c r="H30" s="144"/>
      <c r="I30" s="144"/>
      <c r="J30" s="4"/>
      <c r="K30" s="4"/>
    </row>
    <row r="31" spans="1:11" ht="12.75">
      <c r="A31" s="161" t="s">
        <v>4</v>
      </c>
      <c r="B31" s="14" t="s">
        <v>5</v>
      </c>
      <c r="C31" s="41">
        <v>2</v>
      </c>
      <c r="D31" s="14" t="s">
        <v>112</v>
      </c>
      <c r="E31" s="144"/>
      <c r="F31" s="74" t="s">
        <v>180</v>
      </c>
      <c r="G31" s="9" t="str">
        <f>$C$21</f>
        <v>Corn for silage</v>
      </c>
      <c r="H31" s="144"/>
      <c r="I31" s="144"/>
      <c r="J31" s="4"/>
      <c r="K31" s="4"/>
    </row>
    <row r="32" spans="1:11" ht="12.75">
      <c r="A32" s="162"/>
      <c r="B32" s="16" t="s">
        <v>94</v>
      </c>
      <c r="C32" s="42">
        <v>5</v>
      </c>
      <c r="D32" s="15" t="str">
        <f>IF($C$2="Liquid",'Haul Output'!$O$92,IF($C$2="Solid",'Haul Output'!$O$93,'Haul Output'!$P109))</f>
        <v>thousand gallons</v>
      </c>
      <c r="E32" s="144"/>
      <c r="F32" s="75" t="s">
        <v>182</v>
      </c>
      <c r="G32" s="46">
        <v>15</v>
      </c>
      <c r="H32" s="144"/>
      <c r="I32" s="144"/>
      <c r="J32" s="4"/>
      <c r="K32" s="4"/>
    </row>
    <row r="33" spans="1:11" ht="12.75">
      <c r="A33" s="162"/>
      <c r="B33" s="15" t="s">
        <v>38</v>
      </c>
      <c r="C33" s="42">
        <v>11</v>
      </c>
      <c r="D33" s="16" t="s">
        <v>113</v>
      </c>
      <c r="E33" s="144"/>
      <c r="F33" s="75" t="s">
        <v>195</v>
      </c>
      <c r="G33" s="46">
        <v>125</v>
      </c>
      <c r="H33" s="144"/>
      <c r="I33" s="144"/>
      <c r="J33" s="4"/>
      <c r="K33" s="4"/>
    </row>
    <row r="34" spans="1:11" ht="15.75">
      <c r="A34" s="162"/>
      <c r="B34" s="15" t="s">
        <v>39</v>
      </c>
      <c r="C34" s="39">
        <v>10</v>
      </c>
      <c r="D34" s="16" t="s">
        <v>114</v>
      </c>
      <c r="E34" s="144"/>
      <c r="F34" s="76" t="s">
        <v>151</v>
      </c>
      <c r="G34" s="10">
        <f>(VLOOKUP(CROPGROWN,'Haul Output'!U111:'Haul Output'!AM122,19,FALSE))</f>
        <v>75</v>
      </c>
      <c r="H34" s="144"/>
      <c r="I34" s="144"/>
      <c r="J34" s="4"/>
      <c r="K34" s="4"/>
    </row>
    <row r="35" spans="1:11" ht="12.75">
      <c r="A35" s="162"/>
      <c r="B35" s="18" t="s">
        <v>40</v>
      </c>
      <c r="C35" s="42">
        <v>8</v>
      </c>
      <c r="D35" s="17" t="s">
        <v>115</v>
      </c>
      <c r="E35" s="144"/>
      <c r="F35" s="112"/>
      <c r="G35" s="143"/>
      <c r="H35" s="144"/>
      <c r="I35" s="144"/>
      <c r="J35" s="4"/>
      <c r="K35" s="4"/>
    </row>
    <row r="36" spans="1:11" ht="12.75">
      <c r="A36" s="162"/>
      <c r="B36" s="29" t="s">
        <v>245</v>
      </c>
      <c r="C36" s="30"/>
      <c r="D36" s="27"/>
      <c r="E36" s="144"/>
      <c r="F36" s="65"/>
      <c r="G36" s="65"/>
      <c r="H36" s="144"/>
      <c r="I36" s="144"/>
      <c r="J36" s="4"/>
      <c r="K36" s="4"/>
    </row>
    <row r="37" spans="1:11" ht="12.75">
      <c r="A37" s="162"/>
      <c r="B37" s="14" t="s">
        <v>244</v>
      </c>
      <c r="C37" s="39">
        <v>15.75</v>
      </c>
      <c r="D37" s="14" t="s">
        <v>114</v>
      </c>
      <c r="E37" s="144"/>
      <c r="F37" s="65"/>
      <c r="G37" s="65"/>
      <c r="H37" s="144"/>
      <c r="I37" s="144"/>
      <c r="J37" s="4"/>
      <c r="K37" s="4"/>
    </row>
    <row r="38" spans="1:11" ht="12.75">
      <c r="A38" s="162"/>
      <c r="B38" s="15"/>
      <c r="C38" s="142" t="s">
        <v>6</v>
      </c>
      <c r="D38" s="15"/>
      <c r="E38" s="144"/>
      <c r="F38" s="65"/>
      <c r="G38" s="65"/>
      <c r="H38" s="144"/>
      <c r="I38" s="144"/>
      <c r="J38" s="4"/>
      <c r="K38" s="4"/>
    </row>
    <row r="39" spans="1:11" ht="12.75">
      <c r="A39" s="162"/>
      <c r="B39" s="15" t="s">
        <v>41</v>
      </c>
      <c r="C39" s="39">
        <v>0</v>
      </c>
      <c r="D39" s="15" t="s">
        <v>116</v>
      </c>
      <c r="E39" s="144"/>
      <c r="F39" s="65"/>
      <c r="G39" s="65"/>
      <c r="H39" s="144"/>
      <c r="I39" s="144"/>
      <c r="J39" s="4"/>
      <c r="K39" s="4"/>
    </row>
    <row r="40" spans="1:11" ht="12.75">
      <c r="A40" s="162"/>
      <c r="B40" s="15" t="s">
        <v>42</v>
      </c>
      <c r="C40" s="39">
        <v>0.34</v>
      </c>
      <c r="D40" s="15" t="s">
        <v>117</v>
      </c>
      <c r="E40" s="144"/>
      <c r="F40" s="65"/>
      <c r="G40" s="65"/>
      <c r="H40" s="144"/>
      <c r="I40" s="144"/>
      <c r="J40" s="4"/>
      <c r="K40" s="4"/>
    </row>
    <row r="41" spans="1:11" ht="12.75">
      <c r="A41" s="162"/>
      <c r="B41" s="15" t="s">
        <v>43</v>
      </c>
      <c r="C41" s="39">
        <v>2</v>
      </c>
      <c r="D41" s="15" t="s">
        <v>118</v>
      </c>
      <c r="E41" s="144"/>
      <c r="F41" s="65"/>
      <c r="G41" s="65"/>
      <c r="H41" s="144"/>
      <c r="I41" s="144"/>
      <c r="J41" s="4"/>
      <c r="K41" s="4"/>
    </row>
    <row r="42" spans="1:11" ht="12.75">
      <c r="A42" s="162"/>
      <c r="B42" s="18" t="s">
        <v>44</v>
      </c>
      <c r="C42" s="43"/>
      <c r="D42" s="18" t="s">
        <v>119</v>
      </c>
      <c r="E42" s="144"/>
      <c r="F42" s="140"/>
      <c r="G42" s="140"/>
      <c r="H42" s="144"/>
      <c r="I42" s="144"/>
      <c r="J42" s="4"/>
      <c r="K42" s="4"/>
    </row>
    <row r="43" spans="1:11" ht="12.75">
      <c r="A43" s="162"/>
      <c r="B43" s="138"/>
      <c r="C43" s="66" t="s">
        <v>6</v>
      </c>
      <c r="D43" s="27"/>
      <c r="E43" s="144"/>
      <c r="F43" s="153"/>
      <c r="G43" s="154"/>
      <c r="H43" s="144"/>
      <c r="I43" s="144"/>
      <c r="J43" s="4"/>
      <c r="K43" s="4"/>
    </row>
    <row r="44" spans="1:11" ht="12.75">
      <c r="A44" s="162"/>
      <c r="B44" s="14" t="s">
        <v>45</v>
      </c>
      <c r="C44" s="37">
        <v>4</v>
      </c>
      <c r="D44" s="14" t="s">
        <v>120</v>
      </c>
      <c r="E44" s="144"/>
      <c r="F44" s="140"/>
      <c r="G44" s="140"/>
      <c r="H44" s="144"/>
      <c r="I44" s="144"/>
      <c r="J44" s="4"/>
      <c r="K44" s="4"/>
    </row>
    <row r="45" spans="1:11" ht="12.75">
      <c r="A45" s="162"/>
      <c r="B45" s="17" t="s">
        <v>96</v>
      </c>
      <c r="C45" s="44">
        <v>0</v>
      </c>
      <c r="D45" s="18" t="s">
        <v>121</v>
      </c>
      <c r="E45" s="144"/>
      <c r="F45" s="141"/>
      <c r="G45" s="141"/>
      <c r="H45" s="144"/>
      <c r="I45" s="144"/>
      <c r="J45" s="4"/>
      <c r="K45" s="4"/>
    </row>
    <row r="46" spans="1:11" ht="12.75">
      <c r="A46" s="162"/>
      <c r="B46" s="26" t="s">
        <v>46</v>
      </c>
      <c r="C46" s="28"/>
      <c r="D46" s="27"/>
      <c r="E46" s="144"/>
      <c r="F46" s="140"/>
      <c r="G46" s="140"/>
      <c r="H46" s="144"/>
      <c r="I46" s="144"/>
      <c r="J46" s="4"/>
      <c r="K46" s="4"/>
    </row>
    <row r="47" spans="1:11" ht="12.75">
      <c r="A47" s="162"/>
      <c r="B47" s="21" t="s">
        <v>47</v>
      </c>
      <c r="C47" s="37">
        <v>0.33</v>
      </c>
      <c r="D47" s="14" t="s">
        <v>122</v>
      </c>
      <c r="E47" s="144"/>
      <c r="F47" s="140"/>
      <c r="G47" s="140"/>
      <c r="H47" s="144"/>
      <c r="I47" s="144"/>
      <c r="J47" s="4"/>
      <c r="K47" s="4"/>
    </row>
    <row r="48" spans="1:11" ht="12.75">
      <c r="A48" s="162"/>
      <c r="B48" s="16" t="s">
        <v>98</v>
      </c>
      <c r="C48" s="42">
        <v>0</v>
      </c>
      <c r="D48" s="15" t="s">
        <v>122</v>
      </c>
      <c r="E48" s="144"/>
      <c r="F48" s="65"/>
      <c r="G48" s="65"/>
      <c r="H48" s="144"/>
      <c r="I48" s="144"/>
      <c r="J48" s="4"/>
      <c r="K48" s="4"/>
    </row>
    <row r="49" spans="1:11" ht="12.75">
      <c r="A49" s="162"/>
      <c r="B49" s="16" t="s">
        <v>48</v>
      </c>
      <c r="C49" s="42">
        <v>20</v>
      </c>
      <c r="D49" s="15" t="s">
        <v>123</v>
      </c>
      <c r="E49" s="144"/>
      <c r="F49" s="65"/>
      <c r="G49" s="65"/>
      <c r="H49" s="144"/>
      <c r="I49" s="144"/>
      <c r="J49" s="4"/>
      <c r="K49" s="4"/>
    </row>
    <row r="50" spans="1:11" ht="12.75">
      <c r="A50" s="163"/>
      <c r="B50" s="17" t="s">
        <v>49</v>
      </c>
      <c r="C50" s="45">
        <v>20</v>
      </c>
      <c r="D50" s="18" t="s">
        <v>114</v>
      </c>
      <c r="E50" s="144"/>
      <c r="F50" s="65"/>
      <c r="G50" s="65"/>
      <c r="H50" s="144"/>
      <c r="I50" s="144"/>
      <c r="J50" s="4"/>
      <c r="K50" s="4"/>
    </row>
    <row r="51" spans="1:11" ht="12.75">
      <c r="A51" s="159"/>
      <c r="B51" s="159"/>
      <c r="C51" s="159"/>
      <c r="D51" s="159"/>
      <c r="E51" s="144"/>
      <c r="F51" s="65"/>
      <c r="G51" s="65"/>
      <c r="H51" s="144"/>
      <c r="I51" s="144"/>
      <c r="J51" s="4"/>
      <c r="K51" s="4"/>
    </row>
    <row r="52" spans="1:11" ht="12.75">
      <c r="A52" s="144"/>
      <c r="B52" s="144"/>
      <c r="C52" s="144"/>
      <c r="D52" s="144"/>
      <c r="E52" s="144"/>
      <c r="F52" s="65"/>
      <c r="G52" s="65"/>
      <c r="H52" s="144"/>
      <c r="I52" s="144"/>
      <c r="J52" s="4"/>
      <c r="K52" s="4"/>
    </row>
    <row r="53" spans="1:11" ht="12.75">
      <c r="A53" s="144"/>
      <c r="B53" s="144"/>
      <c r="C53" s="144"/>
      <c r="D53" s="144"/>
      <c r="E53" s="144"/>
      <c r="F53" s="65"/>
      <c r="G53" s="65"/>
      <c r="H53" s="144"/>
      <c r="I53" s="144"/>
      <c r="J53" s="4"/>
      <c r="K53" s="4"/>
    </row>
    <row r="54" spans="1:11" ht="12.75">
      <c r="A54" s="144"/>
      <c r="B54" s="144"/>
      <c r="C54" s="144"/>
      <c r="D54" s="144"/>
      <c r="E54" s="144"/>
      <c r="F54" s="65"/>
      <c r="G54" s="65"/>
      <c r="H54" s="144"/>
      <c r="I54" s="144"/>
      <c r="J54" s="4"/>
      <c r="K54" s="4"/>
    </row>
    <row r="55" spans="1:11" ht="12.75">
      <c r="A55" s="144"/>
      <c r="B55" s="144"/>
      <c r="C55" s="144"/>
      <c r="D55" s="144"/>
      <c r="E55" s="144"/>
      <c r="F55" s="65"/>
      <c r="G55" s="65"/>
      <c r="H55" s="144"/>
      <c r="I55" s="144"/>
      <c r="J55" s="4"/>
      <c r="K55" s="4"/>
    </row>
    <row r="56" spans="1:11" ht="12.75">
      <c r="A56" s="144"/>
      <c r="B56" s="144"/>
      <c r="C56" s="144"/>
      <c r="D56" s="144"/>
      <c r="E56" s="144"/>
      <c r="F56" s="65"/>
      <c r="G56" s="65"/>
      <c r="H56" s="144"/>
      <c r="I56" s="144"/>
      <c r="J56" s="4"/>
      <c r="K56" s="4"/>
    </row>
    <row r="57" spans="1:11" ht="12.75">
      <c r="A57" s="144"/>
      <c r="B57" s="144"/>
      <c r="C57" s="144"/>
      <c r="D57" s="144"/>
      <c r="E57" s="144"/>
      <c r="F57" s="65"/>
      <c r="G57" s="65"/>
      <c r="H57" s="144"/>
      <c r="I57" s="144"/>
      <c r="J57" s="4"/>
      <c r="K57" s="4"/>
    </row>
    <row r="58" spans="1:11" ht="12.75">
      <c r="A58" s="144"/>
      <c r="B58" s="144"/>
      <c r="C58" s="144"/>
      <c r="D58" s="144"/>
      <c r="E58" s="144"/>
      <c r="F58" s="65"/>
      <c r="G58" s="65"/>
      <c r="H58" s="144"/>
      <c r="I58" s="144"/>
      <c r="J58" s="4"/>
      <c r="K58" s="4"/>
    </row>
    <row r="59" spans="1:11" ht="12.75">
      <c r="A59" s="144"/>
      <c r="B59" s="144"/>
      <c r="C59" s="144"/>
      <c r="D59" s="144"/>
      <c r="E59" s="144"/>
      <c r="F59" s="65"/>
      <c r="G59" s="65"/>
      <c r="H59" s="144"/>
      <c r="I59" s="144"/>
      <c r="J59" s="4"/>
      <c r="K59" s="4"/>
    </row>
    <row r="60" spans="1:11" ht="12.75">
      <c r="A60" s="144"/>
      <c r="B60" s="144"/>
      <c r="C60" s="144"/>
      <c r="D60" s="144"/>
      <c r="E60" s="144"/>
      <c r="F60" s="65"/>
      <c r="G60" s="65"/>
      <c r="H60" s="144"/>
      <c r="I60" s="144"/>
      <c r="J60" s="4"/>
      <c r="K60" s="4"/>
    </row>
    <row r="61" spans="1:11" ht="12.75">
      <c r="A61" s="144"/>
      <c r="B61" s="144"/>
      <c r="C61" s="144"/>
      <c r="D61" s="144"/>
      <c r="E61" s="144"/>
      <c r="F61" s="65"/>
      <c r="G61" s="65"/>
      <c r="H61" s="144"/>
      <c r="I61" s="144"/>
      <c r="J61" s="4"/>
      <c r="K61" s="4"/>
    </row>
    <row r="62" spans="1:11" ht="12.75">
      <c r="A62" s="144"/>
      <c r="B62" s="144"/>
      <c r="C62" s="144"/>
      <c r="D62" s="144"/>
      <c r="E62" s="144"/>
      <c r="F62" s="65"/>
      <c r="G62" s="65"/>
      <c r="H62" s="144"/>
      <c r="I62" s="144"/>
      <c r="J62" s="4"/>
      <c r="K62" s="4"/>
    </row>
    <row r="63" spans="1:11" ht="12.75">
      <c r="A63" s="144"/>
      <c r="B63" s="144"/>
      <c r="C63" s="144"/>
      <c r="D63" s="144"/>
      <c r="E63" s="144"/>
      <c r="F63" s="65"/>
      <c r="G63" s="65"/>
      <c r="H63" s="144"/>
      <c r="I63" s="144"/>
      <c r="J63" s="4"/>
      <c r="K63" s="4"/>
    </row>
    <row r="64" spans="1:11" ht="12.75">
      <c r="A64" s="144"/>
      <c r="B64" s="144"/>
      <c r="C64" s="144"/>
      <c r="D64" s="144"/>
      <c r="E64" s="144"/>
      <c r="F64" s="65"/>
      <c r="G64" s="65"/>
      <c r="H64" s="144"/>
      <c r="I64" s="144"/>
      <c r="J64" s="4"/>
      <c r="K64" s="4"/>
    </row>
    <row r="65" spans="1:11" ht="12.75">
      <c r="A65" s="144"/>
      <c r="B65" s="144"/>
      <c r="C65" s="144"/>
      <c r="D65" s="144"/>
      <c r="E65" s="144"/>
      <c r="F65" s="65"/>
      <c r="G65" s="65"/>
      <c r="H65" s="144"/>
      <c r="I65" s="144"/>
      <c r="J65" s="4"/>
      <c r="K65" s="4"/>
    </row>
    <row r="66" spans="1:11" ht="12.75">
      <c r="A66" s="144"/>
      <c r="B66" s="144"/>
      <c r="C66" s="144"/>
      <c r="D66" s="144"/>
      <c r="E66" s="144"/>
      <c r="F66" s="65"/>
      <c r="G66" s="65"/>
      <c r="H66" s="144"/>
      <c r="I66" s="144"/>
      <c r="J66" s="4"/>
      <c r="K66" s="4"/>
    </row>
    <row r="67" spans="1:11" ht="12.75">
      <c r="A67" s="144"/>
      <c r="B67" s="144"/>
      <c r="C67" s="144"/>
      <c r="D67" s="144"/>
      <c r="E67" s="144"/>
      <c r="F67" s="65"/>
      <c r="G67" s="65"/>
      <c r="H67" s="144"/>
      <c r="I67" s="144"/>
      <c r="J67" s="4"/>
      <c r="K67" s="4"/>
    </row>
    <row r="68" spans="1:11" ht="12.75">
      <c r="A68" s="144"/>
      <c r="B68" s="144"/>
      <c r="C68" s="144"/>
      <c r="D68" s="144"/>
      <c r="E68" s="144"/>
      <c r="F68" s="65"/>
      <c r="G68" s="65"/>
      <c r="H68" s="144"/>
      <c r="I68" s="144"/>
      <c r="J68" s="4"/>
      <c r="K68" s="4"/>
    </row>
    <row r="69" spans="1:11" ht="12.75">
      <c r="A69" s="144"/>
      <c r="B69" s="144"/>
      <c r="C69" s="144"/>
      <c r="D69" s="144"/>
      <c r="E69" s="144"/>
      <c r="F69" s="65"/>
      <c r="G69" s="65"/>
      <c r="H69" s="144"/>
      <c r="I69" s="144"/>
      <c r="J69" s="4"/>
      <c r="K69" s="4"/>
    </row>
    <row r="70" spans="1:11" ht="12.75">
      <c r="A70" s="144"/>
      <c r="B70" s="144"/>
      <c r="C70" s="144"/>
      <c r="D70" s="144"/>
      <c r="E70" s="144"/>
      <c r="F70" s="65"/>
      <c r="G70" s="65"/>
      <c r="H70" s="144"/>
      <c r="I70" s="144"/>
      <c r="J70" s="4"/>
      <c r="K70" s="4"/>
    </row>
    <row r="71" spans="1:11" ht="12.75">
      <c r="A71" s="144"/>
      <c r="B71" s="144"/>
      <c r="C71" s="144"/>
      <c r="D71" s="144"/>
      <c r="E71" s="144"/>
      <c r="F71" s="65"/>
      <c r="G71" s="65"/>
      <c r="H71" s="144"/>
      <c r="I71" s="144"/>
      <c r="J71" s="4"/>
      <c r="K71" s="4"/>
    </row>
    <row r="72" spans="1:11" ht="12.75">
      <c r="A72" s="144"/>
      <c r="B72" s="144"/>
      <c r="C72" s="144"/>
      <c r="D72" s="144"/>
      <c r="E72" s="144"/>
      <c r="F72" s="65"/>
      <c r="G72" s="65"/>
      <c r="H72" s="144"/>
      <c r="I72" s="144"/>
      <c r="J72" s="4"/>
      <c r="K72" s="4"/>
    </row>
    <row r="73" spans="1:11" ht="12.75">
      <c r="A73" s="144"/>
      <c r="B73" s="144"/>
      <c r="C73" s="144"/>
      <c r="D73" s="144"/>
      <c r="E73" s="144"/>
      <c r="F73" s="65"/>
      <c r="G73" s="65"/>
      <c r="H73" s="144"/>
      <c r="I73" s="144"/>
      <c r="J73" s="4"/>
      <c r="K73" s="4"/>
    </row>
    <row r="74" spans="1:11" ht="12.75">
      <c r="A74" s="144"/>
      <c r="B74" s="144"/>
      <c r="C74" s="144"/>
      <c r="D74" s="144"/>
      <c r="E74" s="144"/>
      <c r="F74" s="65"/>
      <c r="G74" s="65"/>
      <c r="H74" s="144"/>
      <c r="I74" s="144"/>
      <c r="J74" s="4"/>
      <c r="K74" s="4"/>
    </row>
    <row r="75" spans="1:11" ht="12.75">
      <c r="A75" s="144"/>
      <c r="B75" s="144"/>
      <c r="C75" s="144"/>
      <c r="D75" s="144"/>
      <c r="E75" s="144"/>
      <c r="F75" s="65"/>
      <c r="G75" s="65"/>
      <c r="H75" s="144"/>
      <c r="I75" s="144"/>
      <c r="J75" s="4"/>
      <c r="K75" s="4"/>
    </row>
    <row r="76" spans="1:11" ht="12.75">
      <c r="A76" s="144"/>
      <c r="B76" s="144"/>
      <c r="C76" s="144"/>
      <c r="D76" s="144"/>
      <c r="E76" s="144"/>
      <c r="F76" s="65"/>
      <c r="G76" s="65"/>
      <c r="H76" s="144"/>
      <c r="I76" s="144"/>
      <c r="J76" s="4"/>
      <c r="K76" s="4"/>
    </row>
    <row r="77" spans="1:11" ht="12.75">
      <c r="A77" s="144"/>
      <c r="B77" s="144"/>
      <c r="C77" s="144"/>
      <c r="D77" s="144"/>
      <c r="E77" s="144"/>
      <c r="F77" s="65"/>
      <c r="G77" s="65"/>
      <c r="H77" s="144"/>
      <c r="I77" s="144"/>
      <c r="J77" s="4"/>
      <c r="K77" s="4"/>
    </row>
    <row r="78" spans="1:11" ht="12.75">
      <c r="A78" s="144"/>
      <c r="B78" s="144"/>
      <c r="C78" s="144"/>
      <c r="D78" s="144"/>
      <c r="E78" s="144"/>
      <c r="F78" s="65"/>
      <c r="G78" s="65"/>
      <c r="H78" s="144"/>
      <c r="I78" s="144"/>
      <c r="J78" s="4"/>
      <c r="K78" s="4"/>
    </row>
    <row r="79" spans="1:11" ht="12.75">
      <c r="A79" s="144"/>
      <c r="B79" s="144"/>
      <c r="C79" s="144"/>
      <c r="D79" s="144"/>
      <c r="E79" s="144"/>
      <c r="F79" s="65"/>
      <c r="G79" s="65"/>
      <c r="H79" s="144"/>
      <c r="I79" s="144"/>
      <c r="J79" s="4"/>
      <c r="K79" s="4"/>
    </row>
    <row r="80" spans="1:11" ht="12.75">
      <c r="A80" s="144"/>
      <c r="B80" s="144"/>
      <c r="C80" s="144"/>
      <c r="D80" s="144"/>
      <c r="E80" s="144"/>
      <c r="F80" s="65"/>
      <c r="G80" s="65"/>
      <c r="H80" s="144"/>
      <c r="I80" s="144"/>
      <c r="J80" s="4"/>
      <c r="K80" s="4"/>
    </row>
    <row r="81" spans="1:11" ht="12.75">
      <c r="A81" s="144"/>
      <c r="B81" s="144"/>
      <c r="C81" s="144"/>
      <c r="D81" s="144"/>
      <c r="E81" s="144"/>
      <c r="F81" s="65"/>
      <c r="G81" s="65"/>
      <c r="H81" s="144"/>
      <c r="I81" s="144"/>
      <c r="J81" s="4"/>
      <c r="K81" s="4"/>
    </row>
    <row r="82" spans="1:11" ht="12.75">
      <c r="A82" s="144"/>
      <c r="B82" s="144"/>
      <c r="C82" s="144"/>
      <c r="D82" s="144"/>
      <c r="E82" s="144"/>
      <c r="F82" s="65"/>
      <c r="G82" s="65"/>
      <c r="H82" s="144"/>
      <c r="I82" s="144"/>
      <c r="J82" s="4"/>
      <c r="K82" s="4"/>
    </row>
    <row r="83" spans="5:11" ht="12.75">
      <c r="E83" s="144"/>
      <c r="F83" s="65"/>
      <c r="G83" s="65"/>
      <c r="H83" s="144"/>
      <c r="I83" s="144"/>
      <c r="J83" s="4"/>
      <c r="K83" s="4"/>
    </row>
  </sheetData>
  <sheetProtection password="C1A6" sheet="1" objects="1" scenarios="1" selectLockedCells="1"/>
  <mergeCells count="21">
    <mergeCell ref="A12:A16"/>
    <mergeCell ref="A17:A19"/>
    <mergeCell ref="A1:D1"/>
    <mergeCell ref="A6:A10"/>
    <mergeCell ref="A31:A50"/>
    <mergeCell ref="A21:A26"/>
    <mergeCell ref="F1:I3"/>
    <mergeCell ref="H4:I83"/>
    <mergeCell ref="A27:A29"/>
    <mergeCell ref="A2:A5"/>
    <mergeCell ref="A11:D11"/>
    <mergeCell ref="F4:G4"/>
    <mergeCell ref="F25:G25"/>
    <mergeCell ref="A51:D82"/>
    <mergeCell ref="F20:G20"/>
    <mergeCell ref="E1:E83"/>
    <mergeCell ref="F43:G43"/>
    <mergeCell ref="F24:G24"/>
    <mergeCell ref="F29:G29"/>
    <mergeCell ref="F30:G30"/>
    <mergeCell ref="F12:G19"/>
  </mergeCells>
  <dataValidations count="4">
    <dataValidation type="list" allowBlank="1" showInputMessage="1" showErrorMessage="1" sqref="C2">
      <formula1>MANURETYPE</formula1>
    </dataValidation>
    <dataValidation type="list" allowBlank="1" showInputMessage="1" showErrorMessage="1" sqref="C3">
      <formula1>SPECIES</formula1>
    </dataValidation>
    <dataValidation type="list" allowBlank="1" showInputMessage="1" showErrorMessage="1" sqref="C21">
      <formula1>CROPNAME</formula1>
    </dataValidation>
    <dataValidation type="list" allowBlank="1" showInputMessage="1" showErrorMessage="1" sqref="G21">
      <formula1>Credits</formula1>
    </dataValidation>
  </dataValidations>
  <printOptions/>
  <pageMargins left="0.75" right="0.75" top="1" bottom="1" header="0.5" footer="0.5"/>
  <pageSetup orientation="portrait" r:id="rId3"/>
  <legacyDrawing r:id="rId2"/>
</worksheet>
</file>

<file path=xl/worksheets/sheet4.xml><?xml version="1.0" encoding="utf-8"?>
<worksheet xmlns="http://schemas.openxmlformats.org/spreadsheetml/2006/main" xmlns:r="http://schemas.openxmlformats.org/officeDocument/2006/relationships">
  <sheetPr>
    <tabColor indexed="47"/>
  </sheetPr>
  <dimension ref="A1:AO122"/>
  <sheetViews>
    <sheetView zoomScalePageLayoutView="0" workbookViewId="0" topLeftCell="A1">
      <selection activeCell="C17" sqref="C17"/>
    </sheetView>
  </sheetViews>
  <sheetFormatPr defaultColWidth="9.140625" defaultRowHeight="12.75"/>
  <cols>
    <col min="1" max="1" width="27.8515625" style="32" customWidth="1"/>
    <col min="2" max="2" width="15.7109375" style="32" customWidth="1"/>
    <col min="3" max="3" width="23.421875" style="32" customWidth="1"/>
    <col min="4" max="4" width="18.00390625" style="32" customWidth="1"/>
    <col min="5" max="5" width="20.00390625" style="32" customWidth="1"/>
    <col min="6" max="16384" width="9.140625" style="32" customWidth="1"/>
  </cols>
  <sheetData>
    <row r="1" spans="1:13" ht="18" customHeight="1">
      <c r="A1" s="184" t="s">
        <v>130</v>
      </c>
      <c r="B1" s="185"/>
      <c r="C1" s="185"/>
      <c r="D1" s="185"/>
      <c r="E1" s="185"/>
      <c r="F1" s="180"/>
      <c r="G1" s="181"/>
      <c r="H1" s="181"/>
      <c r="I1" s="181"/>
      <c r="J1" s="181"/>
      <c r="K1" s="33"/>
      <c r="L1" s="13"/>
      <c r="M1" s="13"/>
    </row>
    <row r="2" spans="1:11" ht="12.75">
      <c r="A2" s="186" t="s">
        <v>89</v>
      </c>
      <c r="B2" s="187"/>
      <c r="C2" s="188"/>
      <c r="D2" s="100" t="s">
        <v>81</v>
      </c>
      <c r="E2" s="63"/>
      <c r="F2" s="181"/>
      <c r="G2" s="181"/>
      <c r="H2" s="181"/>
      <c r="I2" s="181"/>
      <c r="J2" s="181"/>
      <c r="K2" s="33"/>
    </row>
    <row r="3" spans="1:11" ht="12.75">
      <c r="A3" s="58"/>
      <c r="B3" s="59" t="s">
        <v>10</v>
      </c>
      <c r="C3" s="57" t="s">
        <v>90</v>
      </c>
      <c r="D3" s="48" t="str">
        <f>IF('Haul Input'!$C$2="Liquid",'Haul Output'!$O$100,IF('Haul Input'!$C$2="Solid",'Haul Output'!$O$101,'Haul Output'!$P$92))</f>
        <v>per thousand gallons</v>
      </c>
      <c r="E3" s="94">
        <f>IF('Haul Input'!$C$8&gt;0,'Haul Input'!$C$8*'Haul Input'!$C$27+'Haul Input'!$C$9*'Haul Input'!$C$28+'Haul Input'!$C$10*'Haul Input'!$C$29,'Haul Input'!$C$14*'Haul Input'!$C$27+'Haul Input'!$C$15*'Haul Input'!$C$28+'Haul Input'!$C$16*'Haul Input'!$C$29)</f>
        <v>33.35</v>
      </c>
      <c r="F3" s="181"/>
      <c r="G3" s="181"/>
      <c r="H3" s="181"/>
      <c r="I3" s="181"/>
      <c r="J3" s="181"/>
      <c r="K3" s="33"/>
    </row>
    <row r="4" spans="1:11" ht="12.75">
      <c r="A4" s="72" t="s">
        <v>91</v>
      </c>
      <c r="B4" s="77">
        <f>(($D$20*'Haul Input'!$C$32)/$B$50)/2+'Haul Input'!$C$31</f>
        <v>5.5647253013298945</v>
      </c>
      <c r="C4" s="78">
        <f>'Haul Input'!$C$5/$C$17</f>
        <v>444.94121791184074</v>
      </c>
      <c r="D4" s="49" t="s">
        <v>124</v>
      </c>
      <c r="E4" s="95">
        <f>$E$3*'Haul Input'!$C$32</f>
        <v>166.75</v>
      </c>
      <c r="F4" s="181"/>
      <c r="G4" s="181"/>
      <c r="H4" s="181"/>
      <c r="I4" s="181"/>
      <c r="J4" s="181"/>
      <c r="K4" s="33"/>
    </row>
    <row r="5" spans="1:11" ht="12.75">
      <c r="A5" s="55"/>
      <c r="B5" s="98"/>
      <c r="C5" s="99"/>
      <c r="D5" s="50" t="s">
        <v>125</v>
      </c>
      <c r="E5" s="96">
        <f>$E$3*'Haul Input'!$C$5</f>
        <v>78728.17108000001</v>
      </c>
      <c r="F5" s="181"/>
      <c r="G5" s="181"/>
      <c r="H5" s="181"/>
      <c r="I5" s="181"/>
      <c r="J5" s="181"/>
      <c r="K5" s="33"/>
    </row>
    <row r="6" spans="1:13" ht="12.75">
      <c r="A6" s="61" t="s">
        <v>82</v>
      </c>
      <c r="B6" s="64"/>
      <c r="C6" s="51"/>
      <c r="D6" s="52" t="s">
        <v>7</v>
      </c>
      <c r="E6" s="19" t="s">
        <v>8</v>
      </c>
      <c r="F6" s="181"/>
      <c r="G6" s="181"/>
      <c r="H6" s="181"/>
      <c r="I6" s="181"/>
      <c r="J6" s="181"/>
      <c r="K6" s="33"/>
      <c r="L6" s="13"/>
      <c r="M6" s="13"/>
    </row>
    <row r="7" spans="1:13" ht="12.75">
      <c r="A7" s="49" t="s">
        <v>2</v>
      </c>
      <c r="B7" s="101">
        <f>IF('Haul Input'!$C$8&gt;0,'Haul Input'!$C$23/'Haul Input'!$C$8,'Haul Input'!$C$23/'Haul Input'!$C$14)</f>
        <v>5.305555555555555</v>
      </c>
      <c r="C7" s="81" t="str">
        <f>IF('Haul Input'!$C$2="Liquid",'Haul Output'!$O$107,IF('Haul Input'!$C$2="Solid",'Haul Output'!$O$108,'Haul Output'!$P$92))</f>
        <v>thousand gallons per acre</v>
      </c>
      <c r="D7" s="105">
        <f>$B$7/'Haul Input'!$C$32</f>
        <v>1.0611111111111111</v>
      </c>
      <c r="E7" s="105">
        <f>IF($B$7&lt;0.0001,0,+'Haul Input'!$C$32/$B$7)</f>
        <v>0.9424083769633508</v>
      </c>
      <c r="F7" s="181"/>
      <c r="G7" s="181"/>
      <c r="H7" s="181"/>
      <c r="I7" s="181"/>
      <c r="J7" s="181"/>
      <c r="K7" s="33"/>
      <c r="L7" s="13"/>
      <c r="M7" s="13"/>
    </row>
    <row r="8" spans="1:13" ht="15.75">
      <c r="A8" s="49" t="s">
        <v>207</v>
      </c>
      <c r="B8" s="102">
        <f>IF('Haul Input'!$C$9&gt;0,'Haul Input'!$C$24/'Haul Input'!$C$9,'Haul Input'!$C$24/'Haul Input'!$C$15)</f>
        <v>1.3095238095238095</v>
      </c>
      <c r="C8" s="81" t="str">
        <f>IF('Haul Input'!$C$2="Liquid",'Haul Output'!$O$107,IF('Haul Input'!$C$2="Solid",'Haul Output'!$O$108,'Haul Output'!$P$92))</f>
        <v>thousand gallons per acre</v>
      </c>
      <c r="D8" s="106">
        <f>$B$8/'Haul Input'!$C$32</f>
        <v>0.2619047619047619</v>
      </c>
      <c r="E8" s="106">
        <f>IF($B$8&lt;0.0001,0,+'Haul Input'!$C$32/$B$8)</f>
        <v>3.8181818181818183</v>
      </c>
      <c r="F8" s="181"/>
      <c r="G8" s="181"/>
      <c r="H8" s="181"/>
      <c r="I8" s="181"/>
      <c r="J8" s="181"/>
      <c r="K8" s="33"/>
      <c r="L8" s="13"/>
      <c r="M8" s="13"/>
    </row>
    <row r="9" spans="1:13" ht="15.75">
      <c r="A9" s="49" t="s">
        <v>208</v>
      </c>
      <c r="B9" s="102">
        <f>IF('Haul Input'!$C$9&gt;0,'Haul Input'!$C$24/'Haul Input'!$C$9*2,'Haul Input'!$C$24/'Haul Input'!$C$15*2)</f>
        <v>2.619047619047619</v>
      </c>
      <c r="C9" s="81" t="str">
        <f>IF('Haul Input'!$C$2="Liquid",'Haul Output'!$O$107,IF('Haul Input'!$C$2="Solid",'Haul Output'!$O$108,'Haul Output'!$P$92))</f>
        <v>thousand gallons per acre</v>
      </c>
      <c r="D9" s="106">
        <f>$B$9/'Haul Input'!$C$32</f>
        <v>0.5238095238095238</v>
      </c>
      <c r="E9" s="106">
        <f>IF($B$9&lt;0.0001,0,+'Haul Input'!$C$32/$B$9)</f>
        <v>1.9090909090909092</v>
      </c>
      <c r="F9" s="181"/>
      <c r="G9" s="181"/>
      <c r="H9" s="181"/>
      <c r="I9" s="181"/>
      <c r="J9" s="181"/>
      <c r="K9" s="33"/>
      <c r="L9" s="13"/>
      <c r="M9" s="13"/>
    </row>
    <row r="10" spans="1:13" ht="15.75">
      <c r="A10" s="49" t="s">
        <v>209</v>
      </c>
      <c r="B10" s="102">
        <f>IF('Haul Input'!$C$9&gt;0,'Haul Input'!$C$24/'Haul Input'!$C$9*3,'Haul Input'!$C$24/'Haul Input'!$C$15*3)</f>
        <v>3.928571428571429</v>
      </c>
      <c r="C10" s="81" t="str">
        <f>IF('Haul Input'!$C$2="Liquid",'Haul Output'!$O$107,IF('Haul Input'!$C$2="Solid",'Haul Output'!$O$108,'Haul Output'!$P$92))</f>
        <v>thousand gallons per acre</v>
      </c>
      <c r="D10" s="106">
        <f>$B$10/'Haul Input'!$C$32</f>
        <v>0.7857142857142858</v>
      </c>
      <c r="E10" s="106">
        <f>IF($B$10&lt;0.0001,0,+'Haul Input'!$C$32/$B$10)</f>
        <v>1.2727272727272727</v>
      </c>
      <c r="F10" s="181"/>
      <c r="G10" s="181"/>
      <c r="H10" s="181"/>
      <c r="I10" s="181"/>
      <c r="J10" s="181"/>
      <c r="K10" s="33"/>
      <c r="L10" s="13"/>
      <c r="M10" s="13"/>
    </row>
    <row r="11" spans="1:13" ht="15.75">
      <c r="A11" s="50" t="s">
        <v>210</v>
      </c>
      <c r="B11" s="103">
        <f>IF('Haul Input'!$C$9&gt;0,'Haul Input'!$C$24/'Haul Input'!$C$9*4,'Haul Input'!$C$24/'Haul Input'!$C$15*4)</f>
        <v>5.238095238095238</v>
      </c>
      <c r="C11" s="81" t="str">
        <f>IF('Haul Input'!$C$2="Liquid",'Haul Output'!$O$107,IF('Haul Input'!$C$2="Solid",'Haul Output'!$O$108,'Haul Output'!$P$92))</f>
        <v>thousand gallons per acre</v>
      </c>
      <c r="D11" s="107">
        <f>$B$11/'Haul Input'!$C$32</f>
        <v>1.0476190476190477</v>
      </c>
      <c r="E11" s="107">
        <f>IF($B$11&lt;0.0001,0,+'Haul Input'!$C$32/$B$11)</f>
        <v>0.9545454545454546</v>
      </c>
      <c r="F11" s="181"/>
      <c r="G11" s="181"/>
      <c r="H11" s="181"/>
      <c r="I11" s="181"/>
      <c r="J11" s="181"/>
      <c r="K11" s="13"/>
      <c r="L11" s="13"/>
      <c r="M11" s="13"/>
    </row>
    <row r="12" spans="1:13" ht="15.75">
      <c r="A12" s="177" t="s">
        <v>86</v>
      </c>
      <c r="B12" s="178"/>
      <c r="C12" s="178"/>
      <c r="D12" s="179"/>
      <c r="E12" s="182"/>
      <c r="F12" s="181"/>
      <c r="G12" s="181"/>
      <c r="H12" s="181"/>
      <c r="I12" s="181"/>
      <c r="J12" s="181"/>
      <c r="K12" s="13"/>
      <c r="L12" s="13"/>
      <c r="M12" s="13"/>
    </row>
    <row r="13" spans="1:13" ht="12.75">
      <c r="A13" s="61" t="s">
        <v>87</v>
      </c>
      <c r="B13" s="62"/>
      <c r="C13" s="61" t="s">
        <v>88</v>
      </c>
      <c r="D13" s="63"/>
      <c r="E13" s="181"/>
      <c r="F13" s="181"/>
      <c r="G13" s="181"/>
      <c r="H13" s="181"/>
      <c r="I13" s="181"/>
      <c r="J13" s="181"/>
      <c r="K13" s="13"/>
      <c r="L13" s="13"/>
      <c r="M13" s="13"/>
    </row>
    <row r="14" spans="1:13" ht="12.75">
      <c r="A14" s="88">
        <f>'Haul Input'!$C$23</f>
        <v>143.25</v>
      </c>
      <c r="B14" s="86" t="s">
        <v>9</v>
      </c>
      <c r="C14" s="82">
        <f>'Haul Output'!$S$101</f>
        <v>0</v>
      </c>
      <c r="D14" s="86" t="s">
        <v>9</v>
      </c>
      <c r="E14" s="181"/>
      <c r="F14" s="181"/>
      <c r="G14" s="181"/>
      <c r="H14" s="181"/>
      <c r="I14" s="181"/>
      <c r="J14" s="181"/>
      <c r="K14" s="13"/>
      <c r="L14" s="13"/>
      <c r="M14" s="13"/>
    </row>
    <row r="15" spans="1:13" ht="15.75">
      <c r="A15" s="89">
        <f>'Haul Input'!$C$25</f>
        <v>41.25</v>
      </c>
      <c r="B15" s="86" t="s">
        <v>211</v>
      </c>
      <c r="C15" s="90">
        <f>IF('Haul Output'!$T$101&lt;0,0,'Haul Output'!$T$101)</f>
        <v>0</v>
      </c>
      <c r="D15" s="86" t="s">
        <v>211</v>
      </c>
      <c r="E15" s="181"/>
      <c r="F15" s="181"/>
      <c r="G15" s="181"/>
      <c r="H15" s="181"/>
      <c r="I15" s="181"/>
      <c r="J15" s="181"/>
      <c r="K15" s="13"/>
      <c r="L15" s="13"/>
      <c r="M15" s="13"/>
    </row>
    <row r="16" spans="1:13" ht="15.75">
      <c r="A16" s="88">
        <f>'Haul Input'!$C$26</f>
        <v>75</v>
      </c>
      <c r="B16" s="86" t="s">
        <v>212</v>
      </c>
      <c r="C16" s="87">
        <f>IF('Haul Output'!$U$101&lt;0,0,'Haul Output'!$U$101)</f>
        <v>0</v>
      </c>
      <c r="D16" s="86" t="s">
        <v>212</v>
      </c>
      <c r="E16" s="181"/>
      <c r="F16" s="181"/>
      <c r="G16" s="181"/>
      <c r="H16" s="181"/>
      <c r="I16" s="181"/>
      <c r="J16" s="181"/>
      <c r="K16" s="13"/>
      <c r="L16" s="13"/>
      <c r="M16" s="13"/>
    </row>
    <row r="17" spans="1:13" ht="12.75">
      <c r="A17" s="91">
        <v>0</v>
      </c>
      <c r="B17" s="92" t="str">
        <f>IF('Haul Input'!$C$2="Liquid",'Haul Output'!$O$92,IF('Haul Input'!$C$2="Solid",'Haul Output'!$O$93,'Haul Output'!$P$92))</f>
        <v>thousand gallons</v>
      </c>
      <c r="C17" s="104">
        <f>$B$7+0.00001</f>
        <v>5.305565555555555</v>
      </c>
      <c r="D17" s="92" t="str">
        <f>IF('Haul Input'!$C$2="Liquid",'Haul Output'!$O$92,IF('Haul Input'!$C$2="Solid",'Haul Output'!$O$93,'Haul Output'!$P$92))</f>
        <v>thousand gallons</v>
      </c>
      <c r="E17" s="181"/>
      <c r="F17" s="181"/>
      <c r="G17" s="181"/>
      <c r="H17" s="181"/>
      <c r="I17" s="181"/>
      <c r="J17" s="181"/>
      <c r="K17" s="13"/>
      <c r="L17" s="13"/>
      <c r="M17" s="13"/>
    </row>
    <row r="18" spans="1:13" ht="12.75">
      <c r="A18" s="54" t="s">
        <v>132</v>
      </c>
      <c r="B18" s="83">
        <f>('Haul Input'!$C$23*'Haul Input'!$C$27+'Haul Input'!$C$25*'Haul Input'!$C$28+'Haul Input'!$C$26*'Haul Input'!$C$29+'Haul Input'!$C$30)</f>
        <v>86.61250000000001</v>
      </c>
      <c r="C18" s="54" t="s">
        <v>132</v>
      </c>
      <c r="D18" s="83">
        <f>$C$17*$B$49+$C$14*'Haul Input'!$C$27+$C$15*'Haul Input'!$C$28+$C$16*'Haul Input'!$C$29+IF($C$14&gt;0,'Haul Input'!$C$30,IF($C$15&gt;0,'Haul Input'!$C$30,IF($C$16&gt;0,'Haul Input'!$C$30,0)))</f>
        <v>31.12911969951178</v>
      </c>
      <c r="E18" s="181"/>
      <c r="F18" s="181"/>
      <c r="G18" s="181"/>
      <c r="H18" s="181"/>
      <c r="I18" s="181"/>
      <c r="J18" s="181"/>
      <c r="K18" s="13"/>
      <c r="L18" s="13"/>
      <c r="M18" s="13"/>
    </row>
    <row r="19" spans="1:13" ht="12.75">
      <c r="A19" s="54" t="s">
        <v>133</v>
      </c>
      <c r="B19" s="79" t="s">
        <v>17</v>
      </c>
      <c r="C19" s="54" t="s">
        <v>133</v>
      </c>
      <c r="D19" s="84">
        <f>($B$18-$D$18)</f>
        <v>55.483380300488236</v>
      </c>
      <c r="E19" s="181"/>
      <c r="F19" s="181"/>
      <c r="G19" s="181"/>
      <c r="H19" s="181"/>
      <c r="I19" s="181"/>
      <c r="J19" s="181"/>
      <c r="K19" s="13"/>
      <c r="L19" s="13"/>
      <c r="M19" s="13"/>
    </row>
    <row r="20" spans="1:13" ht="12.75">
      <c r="A20" s="55" t="str">
        <f>IF('Haul Input'!$C$2="Liquid",'Haul Output'!$O$102,IF('Haul Input'!$C$2="Solid",'Haul Output'!$O$103,'Haul Output'!$P$92))</f>
        <v>savings per thousand gallons</v>
      </c>
      <c r="B20" s="79" t="s">
        <v>17</v>
      </c>
      <c r="C20" s="55" t="str">
        <f>IF('Haul Input'!$C$2="Liquid",'Haul Output'!$O$102,IF('Haul Input'!$C$2="Solid",'Haul Output'!$O$103,'Haul Output'!$P$92))</f>
        <v>savings per thousand gallons</v>
      </c>
      <c r="D20" s="84">
        <f>$D$19/$C$17</f>
        <v>10.457580764861264</v>
      </c>
      <c r="E20" s="181"/>
      <c r="F20" s="181"/>
      <c r="G20" s="181"/>
      <c r="H20" s="181"/>
      <c r="I20" s="181"/>
      <c r="J20" s="181"/>
      <c r="K20" s="13"/>
      <c r="L20" s="13"/>
      <c r="M20" s="13"/>
    </row>
    <row r="21" spans="1:13" ht="12.75">
      <c r="A21" s="54" t="s">
        <v>134</v>
      </c>
      <c r="B21" s="79" t="s">
        <v>17</v>
      </c>
      <c r="C21" s="54" t="s">
        <v>134</v>
      </c>
      <c r="D21" s="84">
        <f>$D$20*'Haul Input'!C32</f>
        <v>52.28790382430632</v>
      </c>
      <c r="E21" s="181"/>
      <c r="F21" s="181"/>
      <c r="G21" s="181"/>
      <c r="H21" s="181"/>
      <c r="I21" s="181"/>
      <c r="J21" s="181"/>
      <c r="K21" s="13"/>
      <c r="L21" s="13"/>
      <c r="M21" s="13"/>
    </row>
    <row r="22" spans="1:13" ht="12.75">
      <c r="A22" s="54" t="s">
        <v>135</v>
      </c>
      <c r="B22" s="79" t="s">
        <v>17</v>
      </c>
      <c r="C22" s="54" t="s">
        <v>135</v>
      </c>
      <c r="D22" s="84">
        <f>(60/$A$53)*$D$21</f>
        <v>75.38229909139837</v>
      </c>
      <c r="E22" s="181"/>
      <c r="F22" s="181"/>
      <c r="G22" s="181"/>
      <c r="H22" s="181"/>
      <c r="I22" s="181"/>
      <c r="J22" s="181"/>
      <c r="K22" s="13"/>
      <c r="L22" s="13"/>
      <c r="M22" s="13"/>
    </row>
    <row r="23" spans="1:13" ht="12.75">
      <c r="A23" s="56" t="s">
        <v>136</v>
      </c>
      <c r="B23" s="80" t="s">
        <v>17</v>
      </c>
      <c r="C23" s="56" t="s">
        <v>136</v>
      </c>
      <c r="D23" s="85">
        <f>$D$20*'Haul Input'!$C$5</f>
        <v>24686.842804765067</v>
      </c>
      <c r="E23" s="181"/>
      <c r="F23" s="181"/>
      <c r="G23" s="181"/>
      <c r="H23" s="181"/>
      <c r="I23" s="181"/>
      <c r="J23" s="181"/>
      <c r="K23" s="13"/>
      <c r="L23" s="13"/>
      <c r="M23" s="13"/>
    </row>
    <row r="24" spans="1:13" ht="14.25">
      <c r="A24" s="61" t="s">
        <v>213</v>
      </c>
      <c r="B24" s="62"/>
      <c r="C24" s="61" t="s">
        <v>214</v>
      </c>
      <c r="D24" s="63"/>
      <c r="E24" s="181"/>
      <c r="F24" s="181"/>
      <c r="G24" s="181"/>
      <c r="H24" s="181"/>
      <c r="I24" s="181"/>
      <c r="J24" s="181"/>
      <c r="K24" s="13"/>
      <c r="L24" s="13"/>
      <c r="M24" s="13"/>
    </row>
    <row r="25" spans="1:13" ht="12.75">
      <c r="A25" s="87">
        <f>IF('Haul Output'!$S$102&lt;0,0,'Haul Output'!$S$102)</f>
        <v>107.89285714285714</v>
      </c>
      <c r="B25" s="86" t="s">
        <v>9</v>
      </c>
      <c r="C25" s="87">
        <f>IF('Haul Output'!$S$103&lt;0,0,'Haul Output'!$S$103)</f>
        <v>72.53571428571429</v>
      </c>
      <c r="D25" s="86" t="s">
        <v>9</v>
      </c>
      <c r="E25" s="181"/>
      <c r="F25" s="181"/>
      <c r="G25" s="181"/>
      <c r="H25" s="181"/>
      <c r="I25" s="181"/>
      <c r="J25" s="181"/>
      <c r="K25" s="13"/>
      <c r="L25" s="13"/>
      <c r="M25" s="13"/>
    </row>
    <row r="26" spans="1:13" ht="15.75" customHeight="1">
      <c r="A26" s="81">
        <f>IF('Haul Output'!$T$102&lt;0,0,'Haul Output'!$T$102)</f>
        <v>0</v>
      </c>
      <c r="B26" s="86" t="s">
        <v>211</v>
      </c>
      <c r="C26" s="81">
        <f>IF('Haul Output'!$T$103&lt;0,0,'Haul Output'!$T$103)</f>
        <v>0</v>
      </c>
      <c r="D26" s="86" t="s">
        <v>211</v>
      </c>
      <c r="E26" s="181"/>
      <c r="F26" s="181"/>
      <c r="G26" s="181"/>
      <c r="H26" s="181"/>
      <c r="I26" s="181"/>
      <c r="J26" s="181"/>
      <c r="K26" s="13"/>
      <c r="L26" s="13"/>
      <c r="M26" s="13"/>
    </row>
    <row r="27" spans="1:13" ht="15.75">
      <c r="A27" s="87">
        <f>IF('Haul Output'!$U$102&lt;0,0,'Haul Output'!$U$102)</f>
        <v>30.476190476190474</v>
      </c>
      <c r="B27" s="86" t="s">
        <v>212</v>
      </c>
      <c r="C27" s="87">
        <f>IF('Haul Output'!$U$103&lt;0,0,'Haul Output'!$U$103)</f>
        <v>0</v>
      </c>
      <c r="D27" s="86" t="s">
        <v>212</v>
      </c>
      <c r="E27" s="181"/>
      <c r="F27" s="181"/>
      <c r="G27" s="181"/>
      <c r="H27" s="181"/>
      <c r="I27" s="181"/>
      <c r="J27" s="181"/>
      <c r="K27" s="13"/>
      <c r="L27" s="13"/>
      <c r="M27" s="13"/>
    </row>
    <row r="28" spans="1:13" ht="12.75">
      <c r="A28" s="104">
        <f>$B$8</f>
        <v>1.3095238095238095</v>
      </c>
      <c r="B28" s="93" t="str">
        <f>IF('Haul Input'!$C$2="Liquid",'Haul Output'!$O$92,IF('Haul Input'!$C$2="Solid",'Haul Output'!$O$93,'Haul Output'!$P$92))</f>
        <v>thousand gallons</v>
      </c>
      <c r="C28" s="103">
        <f>$B$9</f>
        <v>2.619047619047619</v>
      </c>
      <c r="D28" s="92" t="str">
        <f>IF('Haul Input'!$C$2="Liquid",'Haul Output'!$O$92,IF('Haul Input'!$C$2="Solid",'Haul Output'!$O$93,'Haul Output'!$P$92))</f>
        <v>thousand gallons</v>
      </c>
      <c r="E28" s="181"/>
      <c r="F28" s="181"/>
      <c r="G28" s="181"/>
      <c r="H28" s="181"/>
      <c r="I28" s="181"/>
      <c r="J28" s="181"/>
      <c r="K28" s="13"/>
      <c r="L28" s="13"/>
      <c r="M28" s="13"/>
    </row>
    <row r="29" spans="1:13" ht="12.75">
      <c r="A29" s="54" t="s">
        <v>132</v>
      </c>
      <c r="B29" s="83">
        <f>$A$28*$B$49+$A$25*'Haul Input'!$C$27+$A$26*'Haul Input'!$C$28+$A$27*'Haul Input'!$C$29+(IF($A$25&gt;0,'Haul Input'!$C$30,IF($A$26&gt;0,'Haul Input'!$C$30,IF($A$27&gt;0,'Haul Input'!$C$30,0))))</f>
        <v>60.935694444444444</v>
      </c>
      <c r="C29" s="54" t="s">
        <v>132</v>
      </c>
      <c r="D29" s="83">
        <f>$C$28*$B$49+$C$25*'Haul Input'!$C$27+$C$26*'Haul Input'!$C$28+$C$27*'Haul Input'!$C$29+(IF($C$25&gt;0,'Haul Input'!$C$30,IF($C$26&gt;0,'Haul Input'!$C$30,IF($C$27&gt;0,'Haul Input'!$C$30,0))))</f>
        <v>48.3809126984127</v>
      </c>
      <c r="E29" s="181"/>
      <c r="F29" s="181"/>
      <c r="G29" s="181"/>
      <c r="H29" s="181"/>
      <c r="I29" s="181"/>
      <c r="J29" s="181"/>
      <c r="K29" s="13"/>
      <c r="L29" s="13"/>
      <c r="M29" s="13"/>
    </row>
    <row r="30" spans="1:13" ht="12.75">
      <c r="A30" s="54" t="s">
        <v>133</v>
      </c>
      <c r="B30" s="84">
        <f>($B$18-$B$29)</f>
        <v>25.676805555555568</v>
      </c>
      <c r="C30" s="54" t="s">
        <v>133</v>
      </c>
      <c r="D30" s="84">
        <f>($B$18-$D$29)</f>
        <v>38.23158730158731</v>
      </c>
      <c r="E30" s="181"/>
      <c r="F30" s="181"/>
      <c r="G30" s="181"/>
      <c r="H30" s="181"/>
      <c r="I30" s="181"/>
      <c r="J30" s="181"/>
      <c r="K30" s="13"/>
      <c r="L30" s="13"/>
      <c r="M30" s="13"/>
    </row>
    <row r="31" spans="1:13" ht="12.75">
      <c r="A31" s="55" t="str">
        <f>IF('Haul Input'!$C$2="Liquid",'Haul Output'!$O$102,IF('Haul Input'!$C$2="Solid",'Haul Output'!$O$103,'Haul Output'!$P$92))</f>
        <v>savings per thousand gallons</v>
      </c>
      <c r="B31" s="84">
        <f>$B$30/$A$28</f>
        <v>19.607742424242435</v>
      </c>
      <c r="C31" s="54" t="str">
        <f>IF('Haul Input'!$C$2="Liquid",'Haul Output'!$O$102,IF('Haul Input'!$C$2="Solid",'Haul Output'!$O$103,'Haul Output'!$P$92))</f>
        <v>savings per thousand gallons</v>
      </c>
      <c r="D31" s="84">
        <f>$D$30/$C$28</f>
        <v>14.597515151515156</v>
      </c>
      <c r="E31" s="181"/>
      <c r="F31" s="181"/>
      <c r="G31" s="181"/>
      <c r="H31" s="181"/>
      <c r="I31" s="181"/>
      <c r="J31" s="181"/>
      <c r="K31" s="13"/>
      <c r="L31" s="13"/>
      <c r="M31" s="13"/>
    </row>
    <row r="32" spans="1:13" ht="12.75">
      <c r="A32" s="54" t="s">
        <v>134</v>
      </c>
      <c r="B32" s="84">
        <f>$B$31*'Haul Input'!$C$32</f>
        <v>98.03871212121217</v>
      </c>
      <c r="C32" s="54" t="s">
        <v>134</v>
      </c>
      <c r="D32" s="84">
        <f>$D$31*'Haul Input'!$C$32</f>
        <v>72.98757575757578</v>
      </c>
      <c r="E32" s="181"/>
      <c r="F32" s="181"/>
      <c r="G32" s="181"/>
      <c r="H32" s="181"/>
      <c r="I32" s="181"/>
      <c r="J32" s="181"/>
      <c r="K32" s="13"/>
      <c r="L32" s="13"/>
      <c r="M32" s="13"/>
    </row>
    <row r="33" spans="1:13" ht="12.75">
      <c r="A33" s="54" t="s">
        <v>135</v>
      </c>
      <c r="B33" s="84">
        <f>(60/$A$53)*$B$32</f>
        <v>141.34021406727837</v>
      </c>
      <c r="C33" s="54" t="s">
        <v>135</v>
      </c>
      <c r="D33" s="84">
        <f>(60/$A$53)*$D$32</f>
        <v>105.22455220620363</v>
      </c>
      <c r="E33" s="181"/>
      <c r="F33" s="181"/>
      <c r="G33" s="181"/>
      <c r="H33" s="181"/>
      <c r="I33" s="181"/>
      <c r="J33" s="181"/>
      <c r="K33" s="13"/>
      <c r="L33" s="13"/>
      <c r="M33" s="13"/>
    </row>
    <row r="34" spans="1:13" ht="12.75">
      <c r="A34" s="56" t="s">
        <v>136</v>
      </c>
      <c r="B34" s="85">
        <f>$B$31*'Haul Input'!$C$5</f>
        <v>46287.30734837579</v>
      </c>
      <c r="C34" s="56" t="s">
        <v>136</v>
      </c>
      <c r="D34" s="85">
        <f>$D$31*'Haul Input'!$C$5</f>
        <v>34459.8401856485</v>
      </c>
      <c r="E34" s="181"/>
      <c r="F34" s="181"/>
      <c r="G34" s="181"/>
      <c r="H34" s="181"/>
      <c r="I34" s="181"/>
      <c r="J34" s="181"/>
      <c r="K34" s="13"/>
      <c r="L34" s="13"/>
      <c r="M34" s="13"/>
    </row>
    <row r="35" spans="1:13" ht="14.25">
      <c r="A35" s="61" t="s">
        <v>215</v>
      </c>
      <c r="B35" s="63"/>
      <c r="C35" s="60" t="s">
        <v>216</v>
      </c>
      <c r="D35" s="62"/>
      <c r="E35" s="181"/>
      <c r="F35" s="181"/>
      <c r="G35" s="181"/>
      <c r="H35" s="181"/>
      <c r="I35" s="181"/>
      <c r="J35" s="181"/>
      <c r="K35" s="13"/>
      <c r="L35" s="13"/>
      <c r="M35" s="13"/>
    </row>
    <row r="36" spans="1:13" ht="12.75">
      <c r="A36" s="87">
        <f>IF('Haul Output'!$S$104&lt;0,0,'Haul Output'!$S$104)</f>
        <v>37.178571428571445</v>
      </c>
      <c r="B36" s="86" t="s">
        <v>9</v>
      </c>
      <c r="C36" s="87">
        <f>IF('Haul Output'!$S$105&lt;0,0,'Haul Output'!$S$105)</f>
        <v>1.8214285714285836</v>
      </c>
      <c r="D36" s="86" t="s">
        <v>9</v>
      </c>
      <c r="E36" s="181"/>
      <c r="F36" s="181"/>
      <c r="G36" s="181"/>
      <c r="H36" s="181"/>
      <c r="I36" s="181"/>
      <c r="J36" s="181"/>
      <c r="K36" s="13"/>
      <c r="L36" s="13"/>
      <c r="M36" s="13"/>
    </row>
    <row r="37" spans="1:13" ht="15.75">
      <c r="A37" s="81">
        <f>IF('Haul Output'!$T$104&lt;0,0,'Haul Output'!$T$104)</f>
        <v>0</v>
      </c>
      <c r="B37" s="86" t="s">
        <v>211</v>
      </c>
      <c r="C37" s="81">
        <f>IF('Haul Output'!$T$105&lt;0,0,'Haul Output'!$T$105)</f>
        <v>0</v>
      </c>
      <c r="D37" s="86" t="s">
        <v>211</v>
      </c>
      <c r="E37" s="181"/>
      <c r="F37" s="181"/>
      <c r="G37" s="181"/>
      <c r="H37" s="181"/>
      <c r="I37" s="181"/>
      <c r="J37" s="181"/>
      <c r="K37" s="13"/>
      <c r="L37" s="13"/>
      <c r="M37" s="13"/>
    </row>
    <row r="38" spans="1:13" ht="15.75">
      <c r="A38" s="87">
        <f>IF('Haul Output'!$U$104&lt;0,0,'Haul Output'!$U$104)</f>
        <v>0</v>
      </c>
      <c r="B38" s="86" t="s">
        <v>212</v>
      </c>
      <c r="C38" s="81">
        <f>IF('Haul Output'!$U$105&lt;0,0,'Haul Output'!$U$105)</f>
        <v>0</v>
      </c>
      <c r="D38" s="86" t="s">
        <v>212</v>
      </c>
      <c r="E38" s="181"/>
      <c r="F38" s="181"/>
      <c r="G38" s="181"/>
      <c r="H38" s="181"/>
      <c r="I38" s="181"/>
      <c r="J38" s="181"/>
      <c r="K38" s="13"/>
      <c r="L38" s="13"/>
      <c r="M38" s="13"/>
    </row>
    <row r="39" spans="1:13" ht="12.75">
      <c r="A39" s="104">
        <f>$B$10</f>
        <v>3.928571428571429</v>
      </c>
      <c r="B39" s="92" t="str">
        <f>IF('Haul Input'!$C$2="Liquid",'Haul Output'!$O$92,IF('Haul Input'!$C$2="Solid",'Haul Output'!$O$93,'Haul Output'!$P$92))</f>
        <v>thousand gallons</v>
      </c>
      <c r="C39" s="104">
        <f>$B$11</f>
        <v>5.238095238095238</v>
      </c>
      <c r="D39" s="92" t="str">
        <f>IF('Haul Input'!$C$2="Liquid",'Haul Output'!$O$92,IF('Haul Input'!$C$2="Solid",'Haul Output'!$O$93,'Haul Output'!$P$92))</f>
        <v>thousand gallons</v>
      </c>
      <c r="E39" s="181"/>
      <c r="F39" s="181"/>
      <c r="G39" s="181"/>
      <c r="H39" s="181"/>
      <c r="I39" s="181"/>
      <c r="J39" s="181"/>
      <c r="K39" s="13"/>
      <c r="L39" s="13"/>
      <c r="M39" s="13"/>
    </row>
    <row r="40" spans="1:13" ht="12.75">
      <c r="A40" s="54" t="s">
        <v>132</v>
      </c>
      <c r="B40" s="83">
        <f>$A$39*$B$49+$A$36*'Haul Input'!$C$27+$A$37*'Haul Input'!$C$28+$A$38*'Haul Input'!$C$29+(IF($A$36&gt;0,'Haul Input'!$C$30,IF($A$37&gt;0,'Haul Input'!$C$30,IF($A$38&gt;0,'Haul Input'!$C$30,0))))</f>
        <v>41.92136904761905</v>
      </c>
      <c r="C40" s="54" t="s">
        <v>132</v>
      </c>
      <c r="D40" s="83">
        <f>$C$39*$B$49+$C$36*'Haul Input'!$C$27+$C$37*'Haul Input'!$C$28+$C$38*'Haul Input'!$C$29+(IF($C$35&gt;0,'Haul Input'!$C$30,IF($C$37&gt;0,'Haul Input'!$C$30,IF($C$39&gt;0,'Haul Input'!$C$30,0))))</f>
        <v>35.461825396825404</v>
      </c>
      <c r="E40" s="181"/>
      <c r="F40" s="181"/>
      <c r="G40" s="181"/>
      <c r="H40" s="181"/>
      <c r="I40" s="181"/>
      <c r="J40" s="181"/>
      <c r="K40" s="13"/>
      <c r="L40" s="13"/>
      <c r="M40" s="13"/>
    </row>
    <row r="41" spans="1:13" ht="12.75">
      <c r="A41" s="54" t="s">
        <v>133</v>
      </c>
      <c r="B41" s="84">
        <f>($B$18-$B$40)</f>
        <v>44.69113095238096</v>
      </c>
      <c r="C41" s="54" t="s">
        <v>133</v>
      </c>
      <c r="D41" s="84">
        <f>($B$18-$D$40)</f>
        <v>51.15067460317461</v>
      </c>
      <c r="E41" s="181"/>
      <c r="F41" s="181"/>
      <c r="G41" s="181"/>
      <c r="H41" s="181"/>
      <c r="I41" s="181"/>
      <c r="J41" s="181"/>
      <c r="K41" s="13"/>
      <c r="L41" s="13"/>
      <c r="M41" s="13"/>
    </row>
    <row r="42" spans="1:13" ht="12.75">
      <c r="A42" s="55" t="str">
        <f>IF('Haul Input'!$C$2="Liquid",'Haul Output'!$O$102,IF('Haul Input'!$C$2="Solid",'Haul Output'!$O$103,'Haul Output'!$P$92))</f>
        <v>savings per thousand gallons</v>
      </c>
      <c r="B42" s="84">
        <f>$B$41/$A$39</f>
        <v>11.375924242424244</v>
      </c>
      <c r="C42" s="55" t="str">
        <f>IF('Haul Input'!$C$2="Liquid",'Haul Output'!$O$102,IF('Haul Input'!$C$2="Solid",'Haul Output'!$O$103,'Haul Output'!$P$92))</f>
        <v>savings per thousand gallons</v>
      </c>
      <c r="D42" s="84">
        <f>$D$41/$C$39</f>
        <v>9.765128787878789</v>
      </c>
      <c r="E42" s="181"/>
      <c r="F42" s="181"/>
      <c r="G42" s="181"/>
      <c r="H42" s="181"/>
      <c r="I42" s="181"/>
      <c r="J42" s="181"/>
      <c r="K42" s="13"/>
      <c r="L42" s="13"/>
      <c r="M42" s="13"/>
    </row>
    <row r="43" spans="1:13" ht="12.75">
      <c r="A43" s="54" t="s">
        <v>134</v>
      </c>
      <c r="B43" s="84">
        <f>$B$42*'Haul Input'!C32</f>
        <v>56.87962121212122</v>
      </c>
      <c r="C43" s="54" t="s">
        <v>134</v>
      </c>
      <c r="D43" s="84">
        <f>$D$42*'Haul Input'!$C$32</f>
        <v>48.82564393939394</v>
      </c>
      <c r="E43" s="181"/>
      <c r="F43" s="181"/>
      <c r="G43" s="181"/>
      <c r="H43" s="181"/>
      <c r="I43" s="181"/>
      <c r="J43" s="181"/>
      <c r="K43" s="13"/>
      <c r="L43" s="13"/>
      <c r="M43" s="13"/>
    </row>
    <row r="44" spans="1:13" ht="12.75">
      <c r="A44" s="54" t="s">
        <v>135</v>
      </c>
      <c r="B44" s="84">
        <f>(60/$A$53)*$B$43</f>
        <v>82.00207514198341</v>
      </c>
      <c r="C44" s="54" t="s">
        <v>135</v>
      </c>
      <c r="D44" s="84">
        <f>(60/$A$53)*$D$43</f>
        <v>70.39083660987332</v>
      </c>
      <c r="E44" s="181"/>
      <c r="F44" s="181"/>
      <c r="G44" s="181"/>
      <c r="H44" s="181"/>
      <c r="I44" s="181"/>
      <c r="J44" s="181"/>
      <c r="K44" s="13"/>
      <c r="L44" s="13"/>
      <c r="M44" s="13"/>
    </row>
    <row r="45" spans="1:13" ht="12.75">
      <c r="A45" s="56" t="s">
        <v>136</v>
      </c>
      <c r="B45" s="85">
        <f>$B$42*'Haul Input'!$C$5</f>
        <v>26854.743926557585</v>
      </c>
      <c r="C45" s="73" t="s">
        <v>136</v>
      </c>
      <c r="D45" s="85">
        <f>$D$42*'Haul Input'!$C$5</f>
        <v>23052.19579701213</v>
      </c>
      <c r="E45" s="181"/>
      <c r="F45" s="181"/>
      <c r="G45" s="181"/>
      <c r="H45" s="181"/>
      <c r="I45" s="181"/>
      <c r="J45" s="181"/>
      <c r="K45" s="13"/>
      <c r="L45" s="13"/>
      <c r="M45" s="13"/>
    </row>
    <row r="46" spans="1:13" ht="12.75">
      <c r="A46" s="61" t="s">
        <v>83</v>
      </c>
      <c r="B46" s="63"/>
      <c r="C46" s="59" t="s">
        <v>85</v>
      </c>
      <c r="D46" s="62"/>
      <c r="E46" s="181"/>
      <c r="F46" s="181"/>
      <c r="G46" s="181"/>
      <c r="H46" s="181"/>
      <c r="I46" s="181"/>
      <c r="J46" s="181"/>
      <c r="K46" s="13"/>
      <c r="L46" s="13"/>
      <c r="M46" s="13"/>
    </row>
    <row r="47" spans="1:13" ht="12.75">
      <c r="A47" s="53" t="s">
        <v>126</v>
      </c>
      <c r="B47" s="83">
        <f>'Haul Input'!$C$31*2*'Haul Input'!$C$40+'Haul Input'!$C$39*($A$53/60)/'Haul Input'!$C$35+'Haul Input'!$C$45*(2*'Haul Input'!$C$31/'Haul Input'!$C$33+'Haul Input'!$C$48)/'Haul Input'!$C$35+'Haul Input'!$C$37*($A$53/60)+IF('Haul Input'!$C$42=0,0,'Haul Input'!$C$41*2*'Haul Input'!$C$31/'Haul Input'!$C$42)+'Haul Input'!$C$31*2*'Haul Input'!$C$44*'Haul Input'!$C$41/'Haul Input'!$C$33+'Haul Input'!$C$34*($A$53/60)+'Haul Input'!$C$50*($A$53-'Haul Input'!$C$49)/60</f>
        <v>29.336287878787875</v>
      </c>
      <c r="C47" s="53" t="s">
        <v>126</v>
      </c>
      <c r="D47" s="83">
        <f>'Haul Input'!$C$31*2*'Haul Input'!$C$40+'Haul Input'!$C$39*($A$53/60)/'Haul Input'!$C$35+'Haul Input'!$C$45*(2*'Haul Input'!$C$31/'Haul Input'!$C$33+'Haul Input'!$C$48)/'Haul Input'!$C$35+'Haul Input'!$C$37*($A$53/60)+IF('Haul Input'!$C$42=0,0,'Haul Input'!$C$41*2*'Haul Input'!$C$31/'Haul Input'!$C$42)+'Haul Input'!$C$31*2*'Haul Input'!$C$44*'Haul Input'!$C$41/'Haul Input'!$C$33+'Haul Input'!$C$50*($A$53-'Haul Input'!$C$49)/60</f>
        <v>22.39992424242424</v>
      </c>
      <c r="E47" s="181"/>
      <c r="F47" s="181"/>
      <c r="G47" s="181"/>
      <c r="H47" s="181"/>
      <c r="I47" s="181"/>
      <c r="J47" s="181"/>
      <c r="K47" s="13"/>
      <c r="L47" s="13"/>
      <c r="M47" s="13"/>
    </row>
    <row r="48" spans="1:13" ht="12.75">
      <c r="A48" s="54" t="s">
        <v>127</v>
      </c>
      <c r="B48" s="84">
        <f>$B$47*60/$A$53</f>
        <v>42.29346876365225</v>
      </c>
      <c r="C48" s="54" t="s">
        <v>127</v>
      </c>
      <c r="D48" s="84">
        <f>60*$D$47/$A$53</f>
        <v>32.29346876365225</v>
      </c>
      <c r="E48" s="181"/>
      <c r="F48" s="181"/>
      <c r="G48" s="181"/>
      <c r="H48" s="181"/>
      <c r="I48" s="181"/>
      <c r="J48" s="181"/>
      <c r="K48" s="13"/>
      <c r="L48" s="13"/>
      <c r="M48" s="13"/>
    </row>
    <row r="49" spans="1:13" ht="12.75">
      <c r="A49" s="55" t="str">
        <f>IF('Haul Input'!$C$2="Liquid",'Haul Output'!$O$92,IF('Haul Input'!$C$2="Solid",'Haul Output'!$O$93,'Haul Output'!$P$92))</f>
        <v>thousand gallons</v>
      </c>
      <c r="B49" s="84">
        <f>$B$47/'Haul Input'!$C$32</f>
        <v>5.867257575757575</v>
      </c>
      <c r="C49" s="55" t="str">
        <f>IF('Haul Input'!$C$2="Liquid",'Haul Output'!$O$92,IF('Haul Input'!$C$2="Solid",'Haul Output'!$O$93,'Haul Output'!$P$92))</f>
        <v>thousand gallons</v>
      </c>
      <c r="D49" s="84">
        <f>$D$47/'Haul Input'!$C$32</f>
        <v>4.479984848484849</v>
      </c>
      <c r="E49" s="181"/>
      <c r="F49" s="181"/>
      <c r="G49" s="181"/>
      <c r="H49" s="181"/>
      <c r="I49" s="181"/>
      <c r="J49" s="181"/>
      <c r="K49" s="13"/>
      <c r="L49" s="13"/>
      <c r="M49" s="13"/>
    </row>
    <row r="50" spans="1:13" ht="12.75">
      <c r="A50" s="54" t="s">
        <v>128</v>
      </c>
      <c r="B50" s="84">
        <f>$B$47/('Haul Input'!$C$31*2)</f>
        <v>7.334071969696969</v>
      </c>
      <c r="C50" s="54" t="s">
        <v>128</v>
      </c>
      <c r="D50" s="84">
        <f>D47/('Haul Input'!$C$31*2)</f>
        <v>5.59998106060606</v>
      </c>
      <c r="E50" s="181"/>
      <c r="F50" s="181"/>
      <c r="G50" s="181"/>
      <c r="H50" s="181"/>
      <c r="I50" s="181"/>
      <c r="J50" s="181"/>
      <c r="K50" s="13"/>
      <c r="L50" s="13"/>
      <c r="M50" s="13"/>
    </row>
    <row r="51" spans="1:13" ht="12.75">
      <c r="A51" s="56" t="s">
        <v>129</v>
      </c>
      <c r="B51" s="85">
        <f>$B$49*'Haul Input'!$C$5</f>
        <v>13850.628431624244</v>
      </c>
      <c r="C51" s="56" t="s">
        <v>129</v>
      </c>
      <c r="D51" s="85">
        <f>$D$49*'Haul Input'!$C$5</f>
        <v>10575.742536351518</v>
      </c>
      <c r="E51" s="181"/>
      <c r="F51" s="181"/>
      <c r="G51" s="181"/>
      <c r="H51" s="181"/>
      <c r="I51" s="181"/>
      <c r="J51" s="181"/>
      <c r="K51" s="13"/>
      <c r="L51" s="13"/>
      <c r="M51" s="13"/>
    </row>
    <row r="52" spans="1:13" ht="12.75">
      <c r="A52" s="183" t="s">
        <v>84</v>
      </c>
      <c r="B52" s="179"/>
      <c r="C52" s="70"/>
      <c r="D52" s="69"/>
      <c r="E52" s="181"/>
      <c r="F52" s="181"/>
      <c r="G52" s="181"/>
      <c r="H52" s="181"/>
      <c r="I52" s="181"/>
      <c r="J52" s="181"/>
      <c r="K52" s="13"/>
      <c r="L52" s="13"/>
      <c r="M52" s="13"/>
    </row>
    <row r="53" spans="1:13" ht="12.75">
      <c r="A53" s="87">
        <f>60*('Haul Input'!$C$31*2/'Haul Input'!$C$33+'Haul Input'!$C$47)</f>
        <v>41.61818181818182</v>
      </c>
      <c r="B53" s="86" t="s">
        <v>152</v>
      </c>
      <c r="C53" s="67"/>
      <c r="D53" s="68"/>
      <c r="E53" s="181"/>
      <c r="F53" s="181"/>
      <c r="G53" s="181"/>
      <c r="H53" s="181"/>
      <c r="I53" s="181"/>
      <c r="J53" s="181"/>
      <c r="K53" s="13"/>
      <c r="L53" s="13"/>
      <c r="M53" s="13"/>
    </row>
    <row r="54" spans="1:13" ht="12.75">
      <c r="A54" s="97">
        <f>'Haul Input'!$C$5/'Haul Input'!$C$32*A53/60</f>
        <v>327.4885895272728</v>
      </c>
      <c r="B54" s="92" t="s">
        <v>153</v>
      </c>
      <c r="C54" s="71"/>
      <c r="D54" s="71"/>
      <c r="E54" s="181"/>
      <c r="F54" s="181"/>
      <c r="G54" s="181"/>
      <c r="H54" s="181"/>
      <c r="I54" s="181"/>
      <c r="J54" s="181"/>
      <c r="K54" s="13"/>
      <c r="L54" s="13"/>
      <c r="M54" s="13"/>
    </row>
    <row r="55" spans="1:13" ht="12.75">
      <c r="A55" s="180"/>
      <c r="B55" s="180"/>
      <c r="C55" s="180"/>
      <c r="D55" s="180"/>
      <c r="E55" s="181"/>
      <c r="F55" s="181"/>
      <c r="G55" s="181"/>
      <c r="H55" s="181"/>
      <c r="I55" s="181"/>
      <c r="J55" s="181"/>
      <c r="K55" s="13"/>
      <c r="L55" s="13"/>
      <c r="M55" s="13"/>
    </row>
    <row r="56" spans="1:13" ht="12.75">
      <c r="A56" s="180"/>
      <c r="B56" s="180"/>
      <c r="C56" s="180"/>
      <c r="D56" s="180"/>
      <c r="E56" s="181"/>
      <c r="F56" s="181"/>
      <c r="G56" s="181"/>
      <c r="H56" s="181"/>
      <c r="I56" s="181"/>
      <c r="J56" s="181"/>
      <c r="K56" s="13"/>
      <c r="L56" s="13"/>
      <c r="M56" s="13"/>
    </row>
    <row r="57" spans="1:13" ht="12.75">
      <c r="A57" s="180"/>
      <c r="B57" s="180"/>
      <c r="C57" s="180"/>
      <c r="D57" s="180"/>
      <c r="E57" s="181"/>
      <c r="F57" s="181"/>
      <c r="G57" s="181"/>
      <c r="H57" s="181"/>
      <c r="I57" s="181"/>
      <c r="J57" s="181"/>
      <c r="K57" s="13"/>
      <c r="L57" s="13"/>
      <c r="M57" s="13"/>
    </row>
    <row r="58" spans="1:13" ht="12.75">
      <c r="A58" s="180"/>
      <c r="B58" s="180"/>
      <c r="C58" s="180"/>
      <c r="D58" s="180"/>
      <c r="E58" s="181"/>
      <c r="F58" s="181"/>
      <c r="G58" s="181"/>
      <c r="H58" s="181"/>
      <c r="I58" s="181"/>
      <c r="J58" s="181"/>
      <c r="K58" s="13"/>
      <c r="L58" s="13"/>
      <c r="M58" s="13"/>
    </row>
    <row r="59" spans="1:13" ht="12.75">
      <c r="A59" s="180"/>
      <c r="B59" s="180"/>
      <c r="C59" s="180"/>
      <c r="D59" s="180"/>
      <c r="E59" s="181"/>
      <c r="F59" s="181"/>
      <c r="G59" s="181"/>
      <c r="H59" s="181"/>
      <c r="I59" s="181"/>
      <c r="J59" s="181"/>
      <c r="K59" s="13"/>
      <c r="L59" s="13"/>
      <c r="M59" s="13"/>
    </row>
    <row r="60" spans="1:13" ht="12.75">
      <c r="A60" s="180"/>
      <c r="B60" s="180"/>
      <c r="C60" s="180"/>
      <c r="D60" s="180"/>
      <c r="E60" s="181"/>
      <c r="F60" s="181"/>
      <c r="G60" s="181"/>
      <c r="H60" s="181"/>
      <c r="I60" s="181"/>
      <c r="J60" s="181"/>
      <c r="K60" s="13"/>
      <c r="L60" s="13"/>
      <c r="M60" s="13"/>
    </row>
    <row r="61" spans="1:13" ht="12.75">
      <c r="A61" s="180"/>
      <c r="B61" s="180"/>
      <c r="C61" s="180"/>
      <c r="D61" s="180"/>
      <c r="E61" s="181"/>
      <c r="F61" s="181"/>
      <c r="G61" s="181"/>
      <c r="H61" s="181"/>
      <c r="I61" s="181"/>
      <c r="J61" s="181"/>
      <c r="K61" s="13"/>
      <c r="L61" s="13"/>
      <c r="M61" s="13"/>
    </row>
    <row r="62" spans="1:13" ht="12.75">
      <c r="A62" s="180"/>
      <c r="B62" s="180"/>
      <c r="C62" s="180"/>
      <c r="D62" s="180"/>
      <c r="E62" s="181"/>
      <c r="F62" s="181"/>
      <c r="G62" s="181"/>
      <c r="H62" s="181"/>
      <c r="I62" s="181"/>
      <c r="J62" s="181"/>
      <c r="K62" s="31"/>
      <c r="L62" s="31"/>
      <c r="M62" s="31"/>
    </row>
    <row r="63" spans="1:13" ht="12.75">
      <c r="A63" s="180"/>
      <c r="B63" s="180"/>
      <c r="C63" s="180"/>
      <c r="D63" s="180"/>
      <c r="E63" s="181"/>
      <c r="F63" s="181"/>
      <c r="G63" s="181"/>
      <c r="H63" s="181"/>
      <c r="I63" s="181"/>
      <c r="J63" s="181"/>
      <c r="K63" s="31"/>
      <c r="L63" s="31"/>
      <c r="M63" s="31"/>
    </row>
    <row r="64" spans="1:13" ht="12.75">
      <c r="A64" s="65"/>
      <c r="B64" s="65"/>
      <c r="C64" s="65"/>
      <c r="D64" s="65"/>
      <c r="E64" s="181"/>
      <c r="F64" s="181"/>
      <c r="G64" s="181"/>
      <c r="H64" s="181"/>
      <c r="I64" s="181"/>
      <c r="J64" s="181"/>
      <c r="K64" s="31"/>
      <c r="L64" s="31"/>
      <c r="M64" s="31"/>
    </row>
    <row r="65" spans="1:13" ht="12.75">
      <c r="A65" s="65"/>
      <c r="B65" s="65"/>
      <c r="C65" s="65"/>
      <c r="D65" s="65"/>
      <c r="E65" s="181"/>
      <c r="F65" s="181"/>
      <c r="G65" s="181"/>
      <c r="H65" s="181"/>
      <c r="I65" s="181"/>
      <c r="J65" s="181"/>
      <c r="K65" s="31"/>
      <c r="L65" s="31"/>
      <c r="M65" s="31"/>
    </row>
    <row r="66" spans="1:13" ht="12.75">
      <c r="A66" s="65"/>
      <c r="B66" s="65"/>
      <c r="C66" s="65"/>
      <c r="D66" s="65"/>
      <c r="E66" s="181"/>
      <c r="F66" s="181"/>
      <c r="G66" s="181"/>
      <c r="H66" s="181"/>
      <c r="I66" s="181"/>
      <c r="J66" s="181"/>
      <c r="K66" s="31"/>
      <c r="L66" s="31"/>
      <c r="M66" s="31"/>
    </row>
    <row r="67" spans="1:13" ht="12.75">
      <c r="A67" s="65"/>
      <c r="B67" s="65"/>
      <c r="C67" s="65"/>
      <c r="D67" s="65"/>
      <c r="E67" s="181"/>
      <c r="F67" s="181"/>
      <c r="G67" s="181"/>
      <c r="H67" s="181"/>
      <c r="I67" s="181"/>
      <c r="J67" s="181"/>
      <c r="K67" s="31"/>
      <c r="L67" s="31"/>
      <c r="M67" s="31"/>
    </row>
    <row r="68" spans="1:13" ht="12.75">
      <c r="A68" s="65"/>
      <c r="B68" s="65"/>
      <c r="C68" s="65"/>
      <c r="D68" s="65"/>
      <c r="E68" s="181"/>
      <c r="F68" s="181"/>
      <c r="G68" s="181"/>
      <c r="H68" s="181"/>
      <c r="I68" s="181"/>
      <c r="J68" s="181"/>
      <c r="K68" s="31"/>
      <c r="L68" s="31"/>
      <c r="M68" s="31"/>
    </row>
    <row r="69" spans="1:13" ht="12.75">
      <c r="A69" s="65"/>
      <c r="B69" s="65"/>
      <c r="C69" s="65"/>
      <c r="D69" s="65"/>
      <c r="E69" s="181"/>
      <c r="F69" s="181"/>
      <c r="G69" s="181"/>
      <c r="H69" s="181"/>
      <c r="I69" s="181"/>
      <c r="J69" s="181"/>
      <c r="K69" s="31"/>
      <c r="L69" s="31"/>
      <c r="M69" s="31"/>
    </row>
    <row r="70" spans="1:13" ht="12.75">
      <c r="A70" s="65"/>
      <c r="B70" s="65"/>
      <c r="C70" s="65"/>
      <c r="D70" s="65"/>
      <c r="E70" s="181"/>
      <c r="F70" s="181"/>
      <c r="G70" s="181"/>
      <c r="H70" s="181"/>
      <c r="I70" s="181"/>
      <c r="J70" s="181"/>
      <c r="K70" s="31"/>
      <c r="L70" s="31"/>
      <c r="M70" s="31"/>
    </row>
    <row r="71" spans="1:13" ht="12.75">
      <c r="A71" s="65"/>
      <c r="B71" s="65"/>
      <c r="C71" s="65"/>
      <c r="D71" s="65"/>
      <c r="E71" s="181"/>
      <c r="F71" s="181"/>
      <c r="G71" s="181"/>
      <c r="H71" s="181"/>
      <c r="I71" s="181"/>
      <c r="J71" s="181"/>
      <c r="K71" s="31"/>
      <c r="L71" s="31"/>
      <c r="M71" s="31"/>
    </row>
    <row r="72" spans="1:13" ht="12.75">
      <c r="A72" s="65"/>
      <c r="B72" s="65"/>
      <c r="C72" s="65"/>
      <c r="D72" s="65"/>
      <c r="E72" s="181"/>
      <c r="F72" s="181"/>
      <c r="G72" s="181"/>
      <c r="H72" s="181"/>
      <c r="I72" s="181"/>
      <c r="J72" s="181"/>
      <c r="K72" s="31"/>
      <c r="L72" s="31"/>
      <c r="M72" s="31"/>
    </row>
    <row r="73" spans="1:13" ht="12.75">
      <c r="A73" s="65"/>
      <c r="B73" s="65"/>
      <c r="C73" s="65"/>
      <c r="D73" s="65"/>
      <c r="E73" s="181"/>
      <c r="F73" s="181"/>
      <c r="G73" s="181"/>
      <c r="H73" s="181"/>
      <c r="I73" s="181"/>
      <c r="J73" s="181"/>
      <c r="K73" s="31"/>
      <c r="L73" s="31"/>
      <c r="M73" s="31"/>
    </row>
    <row r="74" spans="1:13" ht="12.75">
      <c r="A74" s="65"/>
      <c r="B74" s="65"/>
      <c r="C74" s="65"/>
      <c r="D74" s="65"/>
      <c r="E74" s="181"/>
      <c r="F74" s="181"/>
      <c r="G74" s="181"/>
      <c r="H74" s="181"/>
      <c r="I74" s="181"/>
      <c r="J74" s="181"/>
      <c r="K74" s="31"/>
      <c r="L74" s="31"/>
      <c r="M74" s="31"/>
    </row>
    <row r="75" spans="1:13" ht="12.75">
      <c r="A75" s="65"/>
      <c r="B75" s="65"/>
      <c r="C75" s="65"/>
      <c r="D75" s="65"/>
      <c r="E75" s="181"/>
      <c r="F75" s="181"/>
      <c r="G75" s="181"/>
      <c r="H75" s="181"/>
      <c r="I75" s="181"/>
      <c r="J75" s="181"/>
      <c r="K75" s="31"/>
      <c r="L75" s="31"/>
      <c r="M75" s="31"/>
    </row>
    <row r="76" spans="1:13" ht="12.75">
      <c r="A76" s="65"/>
      <c r="B76" s="65"/>
      <c r="C76" s="65"/>
      <c r="D76" s="65"/>
      <c r="E76" s="181"/>
      <c r="F76" s="181"/>
      <c r="G76" s="181"/>
      <c r="H76" s="181"/>
      <c r="I76" s="181"/>
      <c r="J76" s="181"/>
      <c r="K76" s="31"/>
      <c r="L76" s="31"/>
      <c r="M76" s="31"/>
    </row>
    <row r="77" spans="1:13" ht="12.75">
      <c r="A77" s="65"/>
      <c r="B77" s="65"/>
      <c r="C77" s="65"/>
      <c r="D77" s="65"/>
      <c r="E77" s="181"/>
      <c r="F77" s="181"/>
      <c r="G77" s="181"/>
      <c r="H77" s="181"/>
      <c r="I77" s="181"/>
      <c r="J77" s="181"/>
      <c r="K77" s="31"/>
      <c r="L77" s="31"/>
      <c r="M77" s="31"/>
    </row>
    <row r="78" spans="1:13" ht="12.75">
      <c r="A78" s="65"/>
      <c r="B78" s="65"/>
      <c r="C78" s="65"/>
      <c r="D78" s="65"/>
      <c r="E78" s="181"/>
      <c r="F78" s="181"/>
      <c r="G78" s="181"/>
      <c r="H78" s="181"/>
      <c r="I78" s="181"/>
      <c r="J78" s="181"/>
      <c r="K78" s="31"/>
      <c r="L78" s="31"/>
      <c r="M78" s="31"/>
    </row>
    <row r="79" spans="1:13" ht="12.75">
      <c r="A79" s="65"/>
      <c r="B79" s="65"/>
      <c r="C79" s="65"/>
      <c r="D79" s="65"/>
      <c r="E79" s="181"/>
      <c r="F79" s="181"/>
      <c r="G79" s="181"/>
      <c r="H79" s="181"/>
      <c r="I79" s="181"/>
      <c r="J79" s="181"/>
      <c r="K79" s="31"/>
      <c r="L79" s="31"/>
      <c r="M79" s="31"/>
    </row>
    <row r="80" spans="1:13" ht="12.75">
      <c r="A80" s="65"/>
      <c r="B80" s="65"/>
      <c r="C80" s="65"/>
      <c r="D80" s="65"/>
      <c r="E80" s="181"/>
      <c r="F80" s="181"/>
      <c r="G80" s="181"/>
      <c r="H80" s="181"/>
      <c r="I80" s="181"/>
      <c r="J80" s="181"/>
      <c r="K80" s="31"/>
      <c r="L80" s="31"/>
      <c r="M80" s="31"/>
    </row>
    <row r="81" spans="1:13" ht="12.75">
      <c r="A81" s="65"/>
      <c r="B81" s="65"/>
      <c r="C81" s="65"/>
      <c r="D81" s="65"/>
      <c r="E81" s="181"/>
      <c r="F81" s="181"/>
      <c r="G81" s="181"/>
      <c r="H81" s="181"/>
      <c r="I81" s="181"/>
      <c r="J81" s="181"/>
      <c r="K81" s="31"/>
      <c r="L81" s="31"/>
      <c r="M81" s="31"/>
    </row>
    <row r="82" spans="1:13" ht="12.75">
      <c r="A82" s="65"/>
      <c r="B82" s="65"/>
      <c r="C82" s="65"/>
      <c r="D82" s="65"/>
      <c r="E82" s="181"/>
      <c r="F82" s="181"/>
      <c r="G82" s="181"/>
      <c r="H82" s="181"/>
      <c r="I82" s="181"/>
      <c r="J82" s="181"/>
      <c r="K82" s="31"/>
      <c r="L82" s="31"/>
      <c r="M82" s="31"/>
    </row>
    <row r="83" spans="1:13" ht="12.75">
      <c r="A83" s="65"/>
      <c r="B83" s="65"/>
      <c r="C83" s="65"/>
      <c r="D83" s="65"/>
      <c r="E83" s="181"/>
      <c r="F83" s="181"/>
      <c r="G83" s="181"/>
      <c r="H83" s="181"/>
      <c r="I83" s="181"/>
      <c r="J83" s="181"/>
      <c r="K83" s="31"/>
      <c r="L83" s="31"/>
      <c r="M83" s="31"/>
    </row>
    <row r="84" spans="1:13" ht="12.75">
      <c r="A84" s="65"/>
      <c r="B84" s="65"/>
      <c r="C84" s="65"/>
      <c r="D84" s="65"/>
      <c r="E84" s="181"/>
      <c r="F84" s="181"/>
      <c r="G84" s="181"/>
      <c r="H84" s="181"/>
      <c r="I84" s="181"/>
      <c r="J84" s="181"/>
      <c r="K84" s="31"/>
      <c r="L84" s="31"/>
      <c r="M84" s="31"/>
    </row>
    <row r="85" spans="1:13" ht="12.75">
      <c r="A85" s="65"/>
      <c r="B85" s="65"/>
      <c r="C85" s="65"/>
      <c r="D85" s="65"/>
      <c r="E85" s="181"/>
      <c r="F85" s="181"/>
      <c r="G85" s="181"/>
      <c r="H85" s="181"/>
      <c r="I85" s="181"/>
      <c r="J85" s="181"/>
      <c r="K85" s="31"/>
      <c r="L85" s="31"/>
      <c r="M85" s="31"/>
    </row>
    <row r="86" spans="1:13" ht="12.75">
      <c r="A86" s="65"/>
      <c r="B86" s="65"/>
      <c r="C86" s="65"/>
      <c r="D86" s="65"/>
      <c r="E86" s="181"/>
      <c r="F86" s="181"/>
      <c r="G86" s="181"/>
      <c r="H86" s="181"/>
      <c r="I86" s="181"/>
      <c r="J86" s="181"/>
      <c r="K86" s="31"/>
      <c r="L86" s="31"/>
      <c r="M86" s="31"/>
    </row>
    <row r="87" spans="1:13" ht="12.75">
      <c r="A87" s="65"/>
      <c r="B87" s="65"/>
      <c r="C87" s="65"/>
      <c r="D87" s="65"/>
      <c r="E87" s="181"/>
      <c r="F87" s="181"/>
      <c r="G87" s="181"/>
      <c r="H87" s="181"/>
      <c r="I87" s="181"/>
      <c r="J87" s="181"/>
      <c r="K87" s="31"/>
      <c r="L87" s="31"/>
      <c r="M87" s="31"/>
    </row>
    <row r="88" spans="1:13" ht="12.75">
      <c r="A88" s="65"/>
      <c r="B88" s="65"/>
      <c r="C88" s="65"/>
      <c r="D88" s="65"/>
      <c r="E88" s="181"/>
      <c r="F88" s="181"/>
      <c r="G88" s="181"/>
      <c r="H88" s="181"/>
      <c r="I88" s="181"/>
      <c r="J88" s="181"/>
      <c r="K88" s="31"/>
      <c r="L88" s="31"/>
      <c r="M88" s="31"/>
    </row>
    <row r="89" spans="1:13" ht="12.75">
      <c r="A89" s="65"/>
      <c r="B89" s="65"/>
      <c r="C89" s="65"/>
      <c r="D89" s="65"/>
      <c r="E89" s="181"/>
      <c r="F89" s="181"/>
      <c r="G89" s="181"/>
      <c r="H89" s="181"/>
      <c r="I89" s="181"/>
      <c r="J89" s="181"/>
      <c r="K89" s="31"/>
      <c r="L89" s="31"/>
      <c r="M89" s="31"/>
    </row>
    <row r="90" spans="1:13" ht="12.75">
      <c r="A90" s="65"/>
      <c r="B90" s="65"/>
      <c r="C90" s="65"/>
      <c r="D90" s="65"/>
      <c r="E90" s="181"/>
      <c r="F90" s="181"/>
      <c r="G90" s="181"/>
      <c r="H90" s="181"/>
      <c r="I90" s="181"/>
      <c r="J90" s="181"/>
      <c r="K90" s="31"/>
      <c r="L90" s="31"/>
      <c r="M90" s="31"/>
    </row>
    <row r="91" spans="1:13" ht="12.75">
      <c r="A91" s="65"/>
      <c r="B91" s="65"/>
      <c r="C91" s="65"/>
      <c r="D91" s="65"/>
      <c r="E91" s="181"/>
      <c r="F91" s="181"/>
      <c r="G91" s="181"/>
      <c r="H91" s="181"/>
      <c r="I91" s="181"/>
      <c r="J91" s="181"/>
      <c r="K91" s="31"/>
      <c r="L91" s="31"/>
      <c r="M91" s="31"/>
    </row>
    <row r="92" spans="1:41" ht="12.75" hidden="1">
      <c r="A92" s="33"/>
      <c r="B92" s="33"/>
      <c r="C92" s="33"/>
      <c r="D92" s="33"/>
      <c r="E92" s="33"/>
      <c r="F92" s="33"/>
      <c r="G92" s="33"/>
      <c r="H92" s="33"/>
      <c r="I92" s="33"/>
      <c r="J92" s="33"/>
      <c r="K92" s="31"/>
      <c r="L92" s="31"/>
      <c r="M92" s="31"/>
      <c r="O92" s="113" t="s">
        <v>92</v>
      </c>
      <c r="P92" s="113" t="s">
        <v>1</v>
      </c>
      <c r="Q92" s="113"/>
      <c r="R92" s="113"/>
      <c r="S92" s="114">
        <f>'Haul Input'!$C$23</f>
        <v>143.25</v>
      </c>
      <c r="T92" s="113">
        <f>'Haul Input'!$C$25</f>
        <v>41.25</v>
      </c>
      <c r="U92" s="113">
        <f>'Haul Input'!$C$26</f>
        <v>75</v>
      </c>
      <c r="V92" s="113"/>
      <c r="W92" s="113"/>
      <c r="X92" s="189"/>
      <c r="Y92" s="189"/>
      <c r="Z92" s="189"/>
      <c r="AA92" s="189"/>
      <c r="AB92" s="189"/>
      <c r="AC92" s="189"/>
      <c r="AD92" s="189"/>
      <c r="AE92" s="189"/>
      <c r="AF92" s="189"/>
      <c r="AG92" s="189"/>
      <c r="AH92" s="2"/>
      <c r="AI92" s="2"/>
      <c r="AJ92" s="1"/>
      <c r="AK92" s="2"/>
      <c r="AL92" s="2"/>
      <c r="AM92" s="115"/>
      <c r="AN92" s="115"/>
      <c r="AO92" s="115"/>
    </row>
    <row r="93" spans="1:41" ht="12.75" hidden="1">
      <c r="A93" s="33"/>
      <c r="B93" s="33"/>
      <c r="C93" s="33"/>
      <c r="D93" s="33"/>
      <c r="E93" s="33"/>
      <c r="F93" s="33"/>
      <c r="G93" s="33"/>
      <c r="H93" s="33"/>
      <c r="I93" s="33"/>
      <c r="J93" s="33"/>
      <c r="K93" s="31"/>
      <c r="L93" s="31"/>
      <c r="M93" s="31"/>
      <c r="O93" s="115" t="s">
        <v>93</v>
      </c>
      <c r="P93" s="115"/>
      <c r="Q93" s="115"/>
      <c r="R93" s="116"/>
      <c r="S93" s="117" t="s">
        <v>11</v>
      </c>
      <c r="T93" s="115"/>
      <c r="U93" s="115"/>
      <c r="V93" s="115"/>
      <c r="W93" s="115"/>
      <c r="X93" s="190" t="s">
        <v>55</v>
      </c>
      <c r="Y93" s="190" t="s">
        <v>56</v>
      </c>
      <c r="Z93" s="190"/>
      <c r="AA93" s="190" t="s">
        <v>57</v>
      </c>
      <c r="AB93" s="190" t="s">
        <v>58</v>
      </c>
      <c r="AC93" s="190"/>
      <c r="AD93" s="190"/>
      <c r="AE93" s="190"/>
      <c r="AF93" s="190"/>
      <c r="AG93" s="190"/>
      <c r="AH93" s="115"/>
      <c r="AI93" s="2"/>
      <c r="AJ93" s="1"/>
      <c r="AK93" s="2"/>
      <c r="AL93" s="2"/>
      <c r="AM93" s="115"/>
      <c r="AN93" s="115"/>
      <c r="AO93" s="115"/>
    </row>
    <row r="94" spans="1:41" ht="15.75" hidden="1">
      <c r="A94" s="33"/>
      <c r="B94" s="33"/>
      <c r="C94" s="33"/>
      <c r="D94" s="33"/>
      <c r="E94" s="33"/>
      <c r="F94" s="33"/>
      <c r="G94" s="33"/>
      <c r="H94" s="33"/>
      <c r="I94" s="33"/>
      <c r="J94" s="33"/>
      <c r="K94" s="31"/>
      <c r="L94" s="31"/>
      <c r="M94" s="31"/>
      <c r="O94" s="115" t="s">
        <v>94</v>
      </c>
      <c r="P94" s="115"/>
      <c r="Q94" s="115"/>
      <c r="R94" s="115"/>
      <c r="S94" s="117" t="s">
        <v>12</v>
      </c>
      <c r="T94" s="117" t="s">
        <v>13</v>
      </c>
      <c r="U94" s="117" t="s">
        <v>14</v>
      </c>
      <c r="V94" s="115"/>
      <c r="W94" s="115"/>
      <c r="X94" s="190"/>
      <c r="Y94" s="190" t="s">
        <v>59</v>
      </c>
      <c r="Z94" s="190" t="s">
        <v>60</v>
      </c>
      <c r="AA94" s="190"/>
      <c r="AB94" s="118" t="s">
        <v>61</v>
      </c>
      <c r="AC94" s="118" t="s">
        <v>222</v>
      </c>
      <c r="AD94" s="118" t="s">
        <v>223</v>
      </c>
      <c r="AE94" s="118" t="s">
        <v>61</v>
      </c>
      <c r="AF94" s="118" t="s">
        <v>222</v>
      </c>
      <c r="AG94" s="118" t="s">
        <v>223</v>
      </c>
      <c r="AH94" s="119" t="s">
        <v>137</v>
      </c>
      <c r="AI94" s="1"/>
      <c r="AJ94" s="1" t="s">
        <v>140</v>
      </c>
      <c r="AK94" s="1"/>
      <c r="AL94" s="2" t="s">
        <v>141</v>
      </c>
      <c r="AM94" s="115"/>
      <c r="AN94" s="115"/>
      <c r="AO94" s="115"/>
    </row>
    <row r="95" spans="1:41" ht="12.75" hidden="1">
      <c r="A95" s="33"/>
      <c r="B95" s="33"/>
      <c r="C95" s="33"/>
      <c r="D95" s="33"/>
      <c r="E95" s="33"/>
      <c r="F95" s="33"/>
      <c r="G95" s="33"/>
      <c r="H95" s="33"/>
      <c r="I95" s="33"/>
      <c r="J95" s="33"/>
      <c r="K95" s="31"/>
      <c r="L95" s="31"/>
      <c r="M95" s="31"/>
      <c r="O95" s="115" t="s">
        <v>95</v>
      </c>
      <c r="P95" s="115"/>
      <c r="Q95" s="115"/>
      <c r="R95" s="117" t="s">
        <v>15</v>
      </c>
      <c r="S95" s="120">
        <f>S92</f>
        <v>143.25</v>
      </c>
      <c r="T95" s="115">
        <f>IF('Haul Input'!$C$10&gt;0,'Haul Output'!$B$7*'Haul Input'!$C$9,'Haul Output'!$B$7*'Haul Input'!$C$15)</f>
        <v>334.25</v>
      </c>
      <c r="U95" s="115">
        <f>IF('Haul Input'!$C$10&gt;0,'Haul Output'!$B$7*'Haul Input'!$C$10,'Haul Output'!$B$7*'Haul Input'!$C$16)</f>
        <v>180.38888888888889</v>
      </c>
      <c r="V95" s="115"/>
      <c r="W95" s="115"/>
      <c r="X95" s="190"/>
      <c r="Y95" s="190"/>
      <c r="Z95" s="190"/>
      <c r="AA95" s="190"/>
      <c r="AB95" s="190" t="s">
        <v>62</v>
      </c>
      <c r="AC95" s="190"/>
      <c r="AD95" s="190"/>
      <c r="AE95" s="190" t="s">
        <v>63</v>
      </c>
      <c r="AF95" s="190"/>
      <c r="AG95" s="190"/>
      <c r="AH95" s="2" t="s">
        <v>138</v>
      </c>
      <c r="AI95" s="1" t="s">
        <v>139</v>
      </c>
      <c r="AJ95" s="2" t="s">
        <v>138</v>
      </c>
      <c r="AK95" s="1" t="s">
        <v>139</v>
      </c>
      <c r="AL95" s="2" t="s">
        <v>138</v>
      </c>
      <c r="AM95" s="1" t="s">
        <v>139</v>
      </c>
      <c r="AN95" s="115"/>
      <c r="AO95" s="115"/>
    </row>
    <row r="96" spans="15:41" ht="12.75" hidden="1">
      <c r="O96" s="115" t="s">
        <v>96</v>
      </c>
      <c r="P96" s="115"/>
      <c r="Q96" s="115"/>
      <c r="R96" s="117" t="s">
        <v>18</v>
      </c>
      <c r="S96" s="121">
        <f>IF('Haul Input'!$C$10&gt;0,'Haul Output'!$B$8*'Haul Input'!$C$8,'Haul Output'!$B$8*'Haul Input'!$C$14)</f>
        <v>35.357142857142854</v>
      </c>
      <c r="T96" s="115">
        <f>IF('Haul Input'!$C$6&gt;0,'Haul Output'!$B$8*'Haul Input'!$C$9,'Haul Output'!$B$8*'Haul Input'!$C$15)</f>
        <v>82.5</v>
      </c>
      <c r="U96" s="115">
        <f>IF('Haul Input'!$C$10&gt;0,'Haul Output'!$B$8*'Haul Input'!$C$10,'Haul Output'!$B$8*'Haul Input'!$C$16)</f>
        <v>44.523809523809526</v>
      </c>
      <c r="V96" s="115"/>
      <c r="W96" s="115"/>
      <c r="X96" s="125" t="s">
        <v>64</v>
      </c>
      <c r="Y96" s="125">
        <v>15</v>
      </c>
      <c r="Z96" s="125">
        <v>3614</v>
      </c>
      <c r="AA96" s="125">
        <v>12.7</v>
      </c>
      <c r="AB96" s="125">
        <v>10</v>
      </c>
      <c r="AC96" s="125">
        <v>4.1</v>
      </c>
      <c r="AD96" s="125">
        <v>7.9</v>
      </c>
      <c r="AE96" s="125">
        <v>41.5</v>
      </c>
      <c r="AF96" s="125">
        <v>17</v>
      </c>
      <c r="AG96" s="125">
        <v>32.8</v>
      </c>
      <c r="AH96" s="133">
        <v>4</v>
      </c>
      <c r="AI96" s="133">
        <v>12</v>
      </c>
      <c r="AJ96" s="134">
        <v>0.35</v>
      </c>
      <c r="AK96" s="134">
        <v>0.3</v>
      </c>
      <c r="AL96" s="133">
        <f aca="true" t="shared" si="0" ref="AL96:AL107">AB96*AJ96+AH96</f>
        <v>7.5</v>
      </c>
      <c r="AM96" s="133">
        <f aca="true" t="shared" si="1" ref="AM96:AM107">AE96*AK96+AI96</f>
        <v>24.45</v>
      </c>
      <c r="AN96" s="135"/>
      <c r="AO96" s="135"/>
    </row>
    <row r="97" spans="15:41" ht="12.75" hidden="1">
      <c r="O97" s="115" t="s">
        <v>97</v>
      </c>
      <c r="P97" s="115"/>
      <c r="Q97" s="115"/>
      <c r="R97" s="117" t="s">
        <v>19</v>
      </c>
      <c r="S97" s="121">
        <f>IF('Haul Input'!$C$10&gt;0,'Haul Output'!$B$8*'Haul Input'!$C$8*2,'Haul Output'!$B$8*'Haul Input'!$C$14*2)</f>
        <v>70.71428571428571</v>
      </c>
      <c r="T97" s="115">
        <f>IF('Haul Input'!$C$10&gt;0,'Haul Output'!$B$8*'Haul Input'!$C$9*2,'Haul Output'!$B$8*'Haul Input'!$C$15*2)</f>
        <v>165</v>
      </c>
      <c r="U97" s="115">
        <f>IF('Haul Input'!$C$10&gt;0,'Haul Output'!$B$8*'Haul Input'!$C$10*2,'Haul Output'!$B$8*'Haul Input'!$C$16*2)</f>
        <v>89.04761904761905</v>
      </c>
      <c r="V97" s="115"/>
      <c r="W97" s="115"/>
      <c r="X97" s="125" t="s">
        <v>65</v>
      </c>
      <c r="Y97" s="125">
        <v>11</v>
      </c>
      <c r="Z97" s="125">
        <v>2738</v>
      </c>
      <c r="AA97" s="125">
        <v>11.6</v>
      </c>
      <c r="AB97" s="125">
        <v>11.3</v>
      </c>
      <c r="AC97" s="125">
        <v>8.4</v>
      </c>
      <c r="AD97" s="125">
        <v>9.5</v>
      </c>
      <c r="AE97" s="125">
        <v>45.4</v>
      </c>
      <c r="AF97" s="125">
        <v>33.7</v>
      </c>
      <c r="AG97" s="125">
        <v>38.2</v>
      </c>
      <c r="AH97" s="136">
        <v>8</v>
      </c>
      <c r="AI97" s="136">
        <v>24</v>
      </c>
      <c r="AJ97" s="137">
        <v>0.25</v>
      </c>
      <c r="AK97" s="137">
        <v>0.3</v>
      </c>
      <c r="AL97" s="133">
        <f t="shared" si="0"/>
        <v>10.825</v>
      </c>
      <c r="AM97" s="133">
        <f t="shared" si="1"/>
        <v>37.62</v>
      </c>
      <c r="AN97" s="135"/>
      <c r="AO97" s="135"/>
    </row>
    <row r="98" spans="15:41" ht="12.75" hidden="1">
      <c r="O98" s="115" t="s">
        <v>98</v>
      </c>
      <c r="P98" s="115"/>
      <c r="Q98" s="115"/>
      <c r="R98" s="117" t="s">
        <v>21</v>
      </c>
      <c r="S98" s="121">
        <f>IF('Haul Input'!$C$10&gt;0,'Haul Output'!$B$8*'Haul Input'!$C$8*3,'Haul Output'!$B$8*'Haul Input'!$C$14*3)</f>
        <v>106.07142857142856</v>
      </c>
      <c r="T98" s="115">
        <f>IF('Haul Input'!$C$10&gt;0,'Haul Output'!$B$8*'Haul Input'!$C$9*3,'Haul Output'!$B$8*'Haul Input'!$C$15*3)</f>
        <v>247.5</v>
      </c>
      <c r="U98" s="115">
        <f>IF('Haul Input'!$C$10&gt;0,'Haul Output'!$B$8*'Haul Input'!$C$10*3,'Haul Output'!$B$8*'Haul Input'!$C$16*3)</f>
        <v>133.57142857142858</v>
      </c>
      <c r="V98" s="115"/>
      <c r="W98" s="115"/>
      <c r="X98" s="125" t="s">
        <v>66</v>
      </c>
      <c r="Y98" s="125">
        <v>11.5</v>
      </c>
      <c r="Z98" s="125">
        <v>2738</v>
      </c>
      <c r="AA98" s="125">
        <v>8.4</v>
      </c>
      <c r="AB98" s="125">
        <v>8.7</v>
      </c>
      <c r="AC98" s="125">
        <v>2.1</v>
      </c>
      <c r="AD98" s="125">
        <v>9</v>
      </c>
      <c r="AE98" s="125">
        <v>36.5</v>
      </c>
      <c r="AF98" s="125">
        <v>8.8</v>
      </c>
      <c r="AG98" s="125">
        <v>37.8</v>
      </c>
      <c r="AH98" s="123">
        <v>4</v>
      </c>
      <c r="AI98" s="123"/>
      <c r="AJ98" s="124">
        <v>0.3</v>
      </c>
      <c r="AK98" s="124"/>
      <c r="AL98" s="122">
        <f t="shared" si="0"/>
        <v>6.609999999999999</v>
      </c>
      <c r="AM98" s="122">
        <f t="shared" si="1"/>
        <v>0</v>
      </c>
      <c r="AN98" s="115"/>
      <c r="AO98" s="115"/>
    </row>
    <row r="99" spans="15:41" ht="25.5" hidden="1">
      <c r="O99" s="115" t="s">
        <v>99</v>
      </c>
      <c r="P99" s="115"/>
      <c r="Q99" s="115"/>
      <c r="R99" s="117" t="s">
        <v>20</v>
      </c>
      <c r="S99" s="121">
        <f>IF('Haul Input'!$C$10&gt;0,'Haul Output'!$B$8*'Haul Input'!$C$8*4,'Haul Output'!$B$8*'Haul Input'!$C$14*4)</f>
        <v>141.42857142857142</v>
      </c>
      <c r="T99" s="115">
        <f>IF('Haul Input'!$C$10&gt;0,'Haul Output'!$B$8*'Haul Input'!$C$9*4,'Haul Output'!$B$8*'Haul Input'!$C$15*4)</f>
        <v>330</v>
      </c>
      <c r="U99" s="115">
        <f>IF('Haul Input'!$C$10&gt;0,'Haul Output'!$B$8*'Haul Input'!$C$10*4,'Haul Output'!$B$8*'Haul Input'!$C$16*4)</f>
        <v>178.0952380952381</v>
      </c>
      <c r="V99" s="115"/>
      <c r="W99" s="115"/>
      <c r="X99" s="125" t="s">
        <v>67</v>
      </c>
      <c r="Y99" s="125">
        <v>11.9</v>
      </c>
      <c r="Z99" s="125">
        <v>3008</v>
      </c>
      <c r="AA99" s="125">
        <v>9.2</v>
      </c>
      <c r="AB99" s="125">
        <v>13.8</v>
      </c>
      <c r="AC99" s="125">
        <v>10.8</v>
      </c>
      <c r="AD99" s="125">
        <v>10.8</v>
      </c>
      <c r="AE99" s="125">
        <v>54.6</v>
      </c>
      <c r="AF99" s="125">
        <v>42.7</v>
      </c>
      <c r="AG99" s="125">
        <v>42.7</v>
      </c>
      <c r="AH99" s="123">
        <v>6</v>
      </c>
      <c r="AI99" s="123">
        <v>26</v>
      </c>
      <c r="AJ99" s="124">
        <v>0.5</v>
      </c>
      <c r="AK99" s="124">
        <v>0.35</v>
      </c>
      <c r="AL99" s="122">
        <f t="shared" si="0"/>
        <v>12.9</v>
      </c>
      <c r="AM99" s="122">
        <f t="shared" si="1"/>
        <v>45.11</v>
      </c>
      <c r="AN99" s="115"/>
      <c r="AO99" s="115"/>
    </row>
    <row r="100" spans="15:41" ht="25.5" hidden="1">
      <c r="O100" s="115" t="s">
        <v>100</v>
      </c>
      <c r="P100" s="115"/>
      <c r="Q100" s="115"/>
      <c r="R100" s="115"/>
      <c r="S100" s="126" t="s">
        <v>16</v>
      </c>
      <c r="T100" s="115"/>
      <c r="U100" s="115"/>
      <c r="V100" s="115"/>
      <c r="W100" s="115"/>
      <c r="X100" s="125" t="s">
        <v>68</v>
      </c>
      <c r="Y100" s="125">
        <v>5.9</v>
      </c>
      <c r="Z100" s="125">
        <v>1425</v>
      </c>
      <c r="AA100" s="125">
        <v>9.2</v>
      </c>
      <c r="AB100" s="125">
        <v>13.9</v>
      </c>
      <c r="AC100" s="125">
        <v>10.8</v>
      </c>
      <c r="AD100" s="125">
        <v>10.8</v>
      </c>
      <c r="AE100" s="125">
        <v>57.5</v>
      </c>
      <c r="AF100" s="125">
        <v>44.7</v>
      </c>
      <c r="AG100" s="125">
        <v>44.7</v>
      </c>
      <c r="AH100" s="123">
        <v>6</v>
      </c>
      <c r="AI100" s="123">
        <v>26</v>
      </c>
      <c r="AJ100" s="124">
        <v>0.5</v>
      </c>
      <c r="AK100" s="124">
        <v>0.35</v>
      </c>
      <c r="AL100" s="122">
        <f t="shared" si="0"/>
        <v>12.95</v>
      </c>
      <c r="AM100" s="122">
        <f t="shared" si="1"/>
        <v>46.125</v>
      </c>
      <c r="AN100" s="115"/>
      <c r="AO100" s="115"/>
    </row>
    <row r="101" spans="15:41" ht="25.5" hidden="1">
      <c r="O101" s="115" t="s">
        <v>101</v>
      </c>
      <c r="P101" s="115"/>
      <c r="Q101" s="115"/>
      <c r="R101" s="117" t="s">
        <v>15</v>
      </c>
      <c r="S101" s="115">
        <v>0</v>
      </c>
      <c r="T101" s="127">
        <f>$T$92-T95</f>
        <v>-293</v>
      </c>
      <c r="U101" s="127">
        <f>$U$92-U95</f>
        <v>-105.38888888888889</v>
      </c>
      <c r="V101" s="115"/>
      <c r="W101" s="115"/>
      <c r="X101" s="125" t="s">
        <v>69</v>
      </c>
      <c r="Y101" s="125">
        <v>15.9</v>
      </c>
      <c r="Z101" s="125">
        <v>3894</v>
      </c>
      <c r="AA101" s="125">
        <v>9.2</v>
      </c>
      <c r="AB101" s="125">
        <v>14.2</v>
      </c>
      <c r="AC101" s="125">
        <v>10.7</v>
      </c>
      <c r="AD101" s="125">
        <v>11.1</v>
      </c>
      <c r="AE101" s="125">
        <v>58</v>
      </c>
      <c r="AF101" s="125">
        <v>43.7</v>
      </c>
      <c r="AG101" s="125">
        <v>45.3</v>
      </c>
      <c r="AH101" s="123">
        <v>6</v>
      </c>
      <c r="AI101" s="123">
        <v>26</v>
      </c>
      <c r="AJ101" s="124">
        <v>0.5</v>
      </c>
      <c r="AK101" s="124">
        <v>0.35</v>
      </c>
      <c r="AL101" s="122">
        <f t="shared" si="0"/>
        <v>13.1</v>
      </c>
      <c r="AM101" s="122">
        <f t="shared" si="1"/>
        <v>46.3</v>
      </c>
      <c r="AN101" s="115"/>
      <c r="AO101" s="115"/>
    </row>
    <row r="102" spans="15:41" ht="12.75" hidden="1">
      <c r="O102" s="115" t="s">
        <v>102</v>
      </c>
      <c r="P102" s="115"/>
      <c r="Q102" s="115"/>
      <c r="R102" s="117" t="s">
        <v>18</v>
      </c>
      <c r="S102" s="121">
        <f>$S$92-S96</f>
        <v>107.89285714285714</v>
      </c>
      <c r="T102" s="127">
        <f>$T$92-T96</f>
        <v>-41.25</v>
      </c>
      <c r="U102" s="127">
        <f>$U$92-U96</f>
        <v>30.476190476190474</v>
      </c>
      <c r="V102" s="115"/>
      <c r="W102" s="115"/>
      <c r="X102" s="125" t="s">
        <v>50</v>
      </c>
      <c r="Y102" s="125">
        <v>7.3</v>
      </c>
      <c r="Z102" s="125">
        <v>1679</v>
      </c>
      <c r="AA102" s="125">
        <v>25</v>
      </c>
      <c r="AB102" s="125">
        <v>22.5</v>
      </c>
      <c r="AC102" s="125">
        <v>7.6</v>
      </c>
      <c r="AD102" s="125">
        <v>19.5</v>
      </c>
      <c r="AE102" s="125">
        <v>97.8</v>
      </c>
      <c r="AF102" s="125">
        <v>33</v>
      </c>
      <c r="AG102" s="125">
        <v>83.5</v>
      </c>
      <c r="AH102" s="123">
        <v>5</v>
      </c>
      <c r="AI102" s="123"/>
      <c r="AJ102" s="124">
        <v>0.25</v>
      </c>
      <c r="AK102" s="124"/>
      <c r="AL102" s="122">
        <f t="shared" si="0"/>
        <v>10.625</v>
      </c>
      <c r="AM102" s="122">
        <f t="shared" si="1"/>
        <v>0</v>
      </c>
      <c r="AN102" s="115"/>
      <c r="AO102" s="115"/>
    </row>
    <row r="103" spans="15:41" ht="12.75" hidden="1">
      <c r="O103" s="115" t="s">
        <v>103</v>
      </c>
      <c r="P103" s="115"/>
      <c r="Q103" s="115"/>
      <c r="R103" s="117" t="s">
        <v>19</v>
      </c>
      <c r="S103" s="121">
        <f>$S$92-S97</f>
        <v>72.53571428571429</v>
      </c>
      <c r="T103" s="127">
        <f>$T$92-T97</f>
        <v>-123.75</v>
      </c>
      <c r="U103" s="127">
        <f>$U$92-U97</f>
        <v>-14.047619047619051</v>
      </c>
      <c r="V103" s="115"/>
      <c r="W103" s="115"/>
      <c r="X103" s="125" t="s">
        <v>70</v>
      </c>
      <c r="Y103" s="125">
        <v>7</v>
      </c>
      <c r="Z103" s="125">
        <v>1789</v>
      </c>
      <c r="AA103" s="125">
        <v>31.7</v>
      </c>
      <c r="AB103" s="125">
        <v>22</v>
      </c>
      <c r="AC103" s="125">
        <v>5.4</v>
      </c>
      <c r="AD103" s="125">
        <v>15.1</v>
      </c>
      <c r="AE103" s="125">
        <v>86.1</v>
      </c>
      <c r="AF103" s="125">
        <v>21.1</v>
      </c>
      <c r="AG103" s="125">
        <v>59.1</v>
      </c>
      <c r="AH103" s="123">
        <v>5</v>
      </c>
      <c r="AI103" s="123"/>
      <c r="AJ103" s="124">
        <v>0.25</v>
      </c>
      <c r="AK103" s="124"/>
      <c r="AL103" s="122">
        <f t="shared" si="0"/>
        <v>10.5</v>
      </c>
      <c r="AM103" s="122">
        <f t="shared" si="1"/>
        <v>0</v>
      </c>
      <c r="AN103" s="115"/>
      <c r="AO103" s="115"/>
    </row>
    <row r="104" spans="15:41" ht="12.75" hidden="1">
      <c r="O104" s="115" t="s">
        <v>104</v>
      </c>
      <c r="P104" s="115"/>
      <c r="Q104" s="115"/>
      <c r="R104" s="117" t="s">
        <v>22</v>
      </c>
      <c r="S104" s="121">
        <f>$S$92-S98</f>
        <v>37.178571428571445</v>
      </c>
      <c r="T104" s="127">
        <f>$T$92-T98</f>
        <v>-206.25</v>
      </c>
      <c r="U104" s="127">
        <f>$U$92-U98</f>
        <v>-58.571428571428584</v>
      </c>
      <c r="V104" s="115"/>
      <c r="W104" s="115"/>
      <c r="X104" s="125" t="s">
        <v>71</v>
      </c>
      <c r="Y104" s="125">
        <v>9.7</v>
      </c>
      <c r="Z104" s="125">
        <v>2464</v>
      </c>
      <c r="AA104" s="125">
        <v>25</v>
      </c>
      <c r="AB104" s="125">
        <v>27.3</v>
      </c>
      <c r="AC104" s="125">
        <v>23.5</v>
      </c>
      <c r="AD104" s="125">
        <v>13.2</v>
      </c>
      <c r="AE104" s="125">
        <v>107.5</v>
      </c>
      <c r="AF104" s="125">
        <v>92.5</v>
      </c>
      <c r="AG104" s="125">
        <v>52</v>
      </c>
      <c r="AH104" s="123">
        <v>26</v>
      </c>
      <c r="AI104" s="123"/>
      <c r="AJ104" s="124">
        <v>0.3</v>
      </c>
      <c r="AK104" s="124"/>
      <c r="AL104" s="122">
        <f t="shared" si="0"/>
        <v>34.19</v>
      </c>
      <c r="AM104" s="122">
        <f t="shared" si="1"/>
        <v>0</v>
      </c>
      <c r="AN104" s="115"/>
      <c r="AO104" s="115"/>
    </row>
    <row r="105" spans="15:41" ht="12.75" hidden="1">
      <c r="O105" s="115" t="s">
        <v>105</v>
      </c>
      <c r="P105" s="115"/>
      <c r="Q105" s="115"/>
      <c r="R105" s="117" t="s">
        <v>20</v>
      </c>
      <c r="S105" s="121">
        <f>$S$92-S99</f>
        <v>1.8214285714285836</v>
      </c>
      <c r="T105" s="127">
        <f>$T$92-T99</f>
        <v>-288.75</v>
      </c>
      <c r="U105" s="127">
        <f>$U$92-U99</f>
        <v>-103.0952380952381</v>
      </c>
      <c r="V105" s="115"/>
      <c r="W105" s="115"/>
      <c r="X105" s="125" t="s">
        <v>72</v>
      </c>
      <c r="Y105" s="125">
        <v>13.1</v>
      </c>
      <c r="Z105" s="125">
        <v>3285</v>
      </c>
      <c r="AA105" s="125">
        <v>25</v>
      </c>
      <c r="AB105" s="125">
        <v>33.4</v>
      </c>
      <c r="AC105" s="125">
        <v>16.7</v>
      </c>
      <c r="AD105" s="125">
        <v>12.5</v>
      </c>
      <c r="AE105" s="125">
        <v>133.2</v>
      </c>
      <c r="AF105" s="125">
        <v>66.6</v>
      </c>
      <c r="AG105" s="125">
        <v>49.8</v>
      </c>
      <c r="AH105" s="123">
        <v>26</v>
      </c>
      <c r="AI105" s="123"/>
      <c r="AJ105" s="124">
        <v>0.3</v>
      </c>
      <c r="AK105" s="124"/>
      <c r="AL105" s="122">
        <f t="shared" si="0"/>
        <v>36.019999999999996</v>
      </c>
      <c r="AM105" s="122">
        <f t="shared" si="1"/>
        <v>0</v>
      </c>
      <c r="AN105" s="115"/>
      <c r="AO105" s="115"/>
    </row>
    <row r="106" spans="15:41" ht="12.75" hidden="1">
      <c r="O106" s="115" t="s">
        <v>106</v>
      </c>
      <c r="P106" s="115"/>
      <c r="Q106" s="115"/>
      <c r="R106" s="115"/>
      <c r="S106" s="115"/>
      <c r="T106" s="115"/>
      <c r="U106" s="115"/>
      <c r="V106" s="115"/>
      <c r="W106" s="115"/>
      <c r="X106" s="125" t="s">
        <v>51</v>
      </c>
      <c r="Y106" s="125">
        <v>8.4</v>
      </c>
      <c r="Z106" s="125">
        <v>2044</v>
      </c>
      <c r="AA106" s="125">
        <v>25</v>
      </c>
      <c r="AB106" s="125">
        <v>23.7</v>
      </c>
      <c r="AC106" s="125">
        <v>20.8</v>
      </c>
      <c r="AD106" s="125">
        <v>16.9</v>
      </c>
      <c r="AE106" s="125">
        <v>97.4</v>
      </c>
      <c r="AF106" s="125">
        <v>85.5</v>
      </c>
      <c r="AG106" s="125">
        <v>69.5</v>
      </c>
      <c r="AH106" s="123">
        <v>17</v>
      </c>
      <c r="AI106" s="123"/>
      <c r="AJ106" s="124">
        <v>0.35</v>
      </c>
      <c r="AK106" s="124"/>
      <c r="AL106" s="122">
        <f t="shared" si="0"/>
        <v>25.295</v>
      </c>
      <c r="AM106" s="122">
        <f t="shared" si="1"/>
        <v>0</v>
      </c>
      <c r="AN106" s="115"/>
      <c r="AO106" s="115"/>
    </row>
    <row r="107" spans="15:41" ht="12.75" hidden="1">
      <c r="O107" s="115" t="s">
        <v>107</v>
      </c>
      <c r="P107" s="115"/>
      <c r="Q107" s="115"/>
      <c r="R107" s="115" t="s">
        <v>197</v>
      </c>
      <c r="S107" s="115" t="s">
        <v>159</v>
      </c>
      <c r="T107" s="115"/>
      <c r="U107" s="115"/>
      <c r="V107" s="115"/>
      <c r="W107" s="115"/>
      <c r="X107" s="125" t="s">
        <v>52</v>
      </c>
      <c r="Y107" s="125">
        <v>8.2</v>
      </c>
      <c r="Z107" s="125">
        <v>2048</v>
      </c>
      <c r="AA107" s="125">
        <v>21</v>
      </c>
      <c r="AB107" s="125">
        <v>12.1</v>
      </c>
      <c r="AC107" s="125">
        <v>4.6</v>
      </c>
      <c r="AD107" s="125">
        <v>9</v>
      </c>
      <c r="AE107" s="125">
        <v>48.4</v>
      </c>
      <c r="AF107" s="125">
        <v>18.4</v>
      </c>
      <c r="AG107" s="125">
        <v>36</v>
      </c>
      <c r="AH107" s="123">
        <v>4</v>
      </c>
      <c r="AI107" s="123"/>
      <c r="AJ107" s="124">
        <v>0.2</v>
      </c>
      <c r="AK107" s="124"/>
      <c r="AL107" s="122">
        <f t="shared" si="0"/>
        <v>6.42</v>
      </c>
      <c r="AM107" s="122">
        <f t="shared" si="1"/>
        <v>0</v>
      </c>
      <c r="AN107" s="115"/>
      <c r="AO107" s="115"/>
    </row>
    <row r="108" spans="15:41" ht="12.75" hidden="1">
      <c r="O108" s="115" t="s">
        <v>108</v>
      </c>
      <c r="P108" s="115"/>
      <c r="Q108" s="115"/>
      <c r="R108" s="115" t="s">
        <v>196</v>
      </c>
      <c r="S108" s="115">
        <v>0</v>
      </c>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row>
    <row r="109" spans="15:41" ht="12.75" hidden="1">
      <c r="O109" s="115" t="s">
        <v>154</v>
      </c>
      <c r="P109" s="115"/>
      <c r="Q109" s="115"/>
      <c r="R109" s="117" t="s">
        <v>164</v>
      </c>
      <c r="S109" s="115">
        <f>40+'Haul Input'!G22</f>
        <v>65</v>
      </c>
      <c r="T109" s="115"/>
      <c r="U109" s="128" t="s">
        <v>23</v>
      </c>
      <c r="V109" s="117" t="s">
        <v>24</v>
      </c>
      <c r="W109" s="117"/>
      <c r="X109" s="117"/>
      <c r="Y109" s="115"/>
      <c r="Z109" s="117"/>
      <c r="AA109" s="115"/>
      <c r="AB109" s="117"/>
      <c r="AC109" s="115"/>
      <c r="AD109" s="115"/>
      <c r="AE109" s="115"/>
      <c r="AF109" s="117"/>
      <c r="AG109" s="115"/>
      <c r="AH109" s="115"/>
      <c r="AI109" s="115"/>
      <c r="AJ109" s="115"/>
      <c r="AK109" s="115"/>
      <c r="AL109" s="115"/>
      <c r="AM109" s="115"/>
      <c r="AN109" s="115"/>
      <c r="AO109" s="115"/>
    </row>
    <row r="110" spans="15:41" ht="12.75" hidden="1">
      <c r="O110" s="115" t="s">
        <v>155</v>
      </c>
      <c r="P110" s="115"/>
      <c r="Q110" s="115"/>
      <c r="R110" s="117" t="s">
        <v>165</v>
      </c>
      <c r="S110" s="115">
        <f>40+0.5*'Haul Input'!G22</f>
        <v>52.5</v>
      </c>
      <c r="T110" s="115"/>
      <c r="U110" s="128" t="s">
        <v>25</v>
      </c>
      <c r="V110" s="117" t="s">
        <v>183</v>
      </c>
      <c r="W110" s="117" t="s">
        <v>61</v>
      </c>
      <c r="X110" s="117" t="s">
        <v>184</v>
      </c>
      <c r="Y110" s="117" t="s">
        <v>189</v>
      </c>
      <c r="Z110" s="117" t="s">
        <v>190</v>
      </c>
      <c r="AA110" s="129" t="s">
        <v>191</v>
      </c>
      <c r="AB110" s="129" t="s">
        <v>186</v>
      </c>
      <c r="AC110" s="129" t="s">
        <v>187</v>
      </c>
      <c r="AD110" s="129" t="s">
        <v>188</v>
      </c>
      <c r="AE110" s="129" t="s">
        <v>198</v>
      </c>
      <c r="AF110" s="117" t="s">
        <v>199</v>
      </c>
      <c r="AG110" s="117" t="s">
        <v>200</v>
      </c>
      <c r="AH110" s="117" t="s">
        <v>201</v>
      </c>
      <c r="AI110" s="129" t="s">
        <v>202</v>
      </c>
      <c r="AJ110" s="129" t="s">
        <v>203</v>
      </c>
      <c r="AK110" s="129" t="s">
        <v>204</v>
      </c>
      <c r="AL110" s="129" t="s">
        <v>205</v>
      </c>
      <c r="AM110" s="129" t="s">
        <v>206</v>
      </c>
      <c r="AN110" s="115"/>
      <c r="AO110" s="115"/>
    </row>
    <row r="111" spans="15:41" ht="12.75" hidden="1">
      <c r="O111" s="115" t="s">
        <v>109</v>
      </c>
      <c r="P111" s="115"/>
      <c r="Q111" s="115"/>
      <c r="R111" s="117" t="s">
        <v>28</v>
      </c>
      <c r="S111" s="115">
        <v>30</v>
      </c>
      <c r="T111" s="115"/>
      <c r="U111" s="117" t="s">
        <v>26</v>
      </c>
      <c r="V111" s="130">
        <f>IF(CROPGROWN=U111,YIELDGOAL,150)</f>
        <v>150</v>
      </c>
      <c r="W111" s="130">
        <f>IF(V111&gt;20,-27+1.36*$V111,0)</f>
        <v>177.00000000000003</v>
      </c>
      <c r="X111" s="115">
        <v>15</v>
      </c>
      <c r="Y111" s="115">
        <v>0.37</v>
      </c>
      <c r="Z111" s="115">
        <v>15</v>
      </c>
      <c r="AA111" s="130">
        <v>10</v>
      </c>
      <c r="AB111" s="130">
        <f>IF('Haul Input'!$G$27&lt;X111,((X111-'Haul Input'!$G$27)*5)+(YIELDGOAL*Y111),0)</f>
        <v>0</v>
      </c>
      <c r="AC111" s="130">
        <f>IF(AND(X111&lt;='Haul Input'!$G$27,'Haul Input'!$G$27&lt;=(X111+Z111)),(YIELDGOAL*Y111),0)</f>
        <v>0</v>
      </c>
      <c r="AD111" s="130">
        <f>IF(AND('Haul Input'!$G$27&gt;('Haul Output'!X111+'Haul Output'!Z111),('Haul Input'!$G$27&lt;='Haul Output'!X111+25)),('Haul Input'!$C$22*'Haul Output'!Y111)-(('Haul Input'!$C$22*'Haul Output'!Y111)*('Haul Input'!$G$27-('Haul Output'!X111+'Haul Output'!Z111))/'Haul Output'!AA111),0)</f>
        <v>4.625</v>
      </c>
      <c r="AE111" s="131">
        <f aca="true" t="shared" si="2" ref="AE111:AE122">MAX(AB111:AD111)</f>
        <v>4.625</v>
      </c>
      <c r="AF111" s="115">
        <f>75+(2.5*'Haul Input'!$G$32)</f>
        <v>112.5</v>
      </c>
      <c r="AG111" s="115">
        <v>0.27</v>
      </c>
      <c r="AH111" s="115">
        <v>30</v>
      </c>
      <c r="AI111" s="115">
        <v>20</v>
      </c>
      <c r="AJ111" s="115">
        <f aca="true" t="shared" si="3" ref="AJ111:AJ122">IF(KST&lt;AF111,((AF111-KST)*((1+0.05*CEC)))+(YIELDGOAL*AG111),0)</f>
        <v>0</v>
      </c>
      <c r="AK111" s="115">
        <f aca="true" t="shared" si="4" ref="AK111:AK122">IF(AND(AF111&lt;=KST,KST&lt;=(AF111+AH111)),(YIELDGOAL*AG111),0)</f>
        <v>6.75</v>
      </c>
      <c r="AL111" s="115">
        <f>IF(AND(KST&gt;(AF111+AH111),(KST&lt;AF111+50)),(YIELDGOAL*AG111)-((YIELDGOAL*AG111)*(KST-(AF111+AH111))/AI111),0)</f>
        <v>0</v>
      </c>
      <c r="AM111" s="121">
        <f aca="true" t="shared" si="5" ref="AM111:AM122">MAX(AJ111:AL111)</f>
        <v>6.75</v>
      </c>
      <c r="AN111" s="117" t="s">
        <v>26</v>
      </c>
      <c r="AO111" s="115"/>
    </row>
    <row r="112" spans="15:41" ht="12.75" hidden="1">
      <c r="O112" s="115" t="s">
        <v>108</v>
      </c>
      <c r="P112" s="115"/>
      <c r="Q112" s="115"/>
      <c r="R112" s="117" t="s">
        <v>166</v>
      </c>
      <c r="S112" s="115">
        <f>40+0.5*'Haul Input'!G22</f>
        <v>52.5</v>
      </c>
      <c r="T112" s="115"/>
      <c r="U112" s="117" t="s">
        <v>27</v>
      </c>
      <c r="V112" s="130">
        <f>IF(CROPGROWN=U112,YIELDGOAL,25)</f>
        <v>25</v>
      </c>
      <c r="W112" s="130">
        <f>IF(V112&gt;3,-25+8.33*$V112,0)</f>
        <v>183.25</v>
      </c>
      <c r="X112" s="115">
        <v>15</v>
      </c>
      <c r="Y112" s="127">
        <v>3.3</v>
      </c>
      <c r="Z112" s="130">
        <v>15</v>
      </c>
      <c r="AA112" s="130">
        <v>10</v>
      </c>
      <c r="AB112" s="130">
        <f>IF('Haul Input'!$G$27&lt;X112,((X112-'Haul Input'!$G$27)*5)+(YIELDGOAL*Y112),0)</f>
        <v>0</v>
      </c>
      <c r="AC112" s="130">
        <f>IF(AND(X112&lt;='Haul Input'!$G$27,'Haul Input'!$G$27&lt;=(X112+Z112)),(YIELDGOAL*Y112),0)</f>
        <v>0</v>
      </c>
      <c r="AD112" s="130">
        <f>IF(AND('Haul Input'!$G$27&gt;('Haul Output'!X112+'Haul Output'!Z112),('Haul Input'!$G$27&lt;='Haul Output'!X112+25)),('Haul Input'!$C$22*'Haul Output'!Y112)-(('Haul Input'!$C$22*'Haul Output'!Y112)*('Haul Input'!$G$27-('Haul Output'!X112+'Haul Output'!Z112))/'Haul Output'!AA112),0)</f>
        <v>41.25</v>
      </c>
      <c r="AE112" s="131">
        <f t="shared" si="2"/>
        <v>41.25</v>
      </c>
      <c r="AF112" s="115">
        <f>75+(2.5*'Haul Input'!$G$32)</f>
        <v>112.5</v>
      </c>
      <c r="AG112" s="115">
        <v>8</v>
      </c>
      <c r="AH112" s="115">
        <v>0</v>
      </c>
      <c r="AI112" s="115">
        <v>20</v>
      </c>
      <c r="AJ112" s="115">
        <f t="shared" si="3"/>
        <v>0</v>
      </c>
      <c r="AK112" s="115">
        <f t="shared" si="4"/>
        <v>0</v>
      </c>
      <c r="AL112" s="115">
        <f>IF(AND(KST&gt;(AF112+AH112),(KST&lt;AF112+20)),(YIELDGOAL*AG112)-((YIELDGOAL*AG112)*(KST-(AF112+AH112))/AI112),0)</f>
        <v>75</v>
      </c>
      <c r="AM112" s="121">
        <f t="shared" si="5"/>
        <v>75</v>
      </c>
      <c r="AN112" s="117" t="s">
        <v>27</v>
      </c>
      <c r="AO112" s="115"/>
    </row>
    <row r="113" spans="15:41" ht="12.75">
      <c r="O113" s="115"/>
      <c r="P113" s="115"/>
      <c r="Q113" s="115"/>
      <c r="R113" s="117" t="s">
        <v>167</v>
      </c>
      <c r="S113" s="115">
        <f>20+0.5*'Haul Input'!G22</f>
        <v>32.5</v>
      </c>
      <c r="T113" s="115"/>
      <c r="U113" s="117" t="s">
        <v>28</v>
      </c>
      <c r="V113" s="130">
        <f>IF(CROPGROWN=U113,YIELDGOAL,40)</f>
        <v>40</v>
      </c>
      <c r="W113" s="130">
        <f>IF(V113&gt;0,0,0)</f>
        <v>0</v>
      </c>
      <c r="X113" s="115">
        <v>15</v>
      </c>
      <c r="Y113" s="127">
        <v>0.8</v>
      </c>
      <c r="Z113" s="130">
        <v>15</v>
      </c>
      <c r="AA113" s="130">
        <v>10</v>
      </c>
      <c r="AB113" s="130">
        <f>IF('Haul Input'!$G$27&lt;X113,((X113-'Haul Input'!$G$27)*5)+(YIELDGOAL*Y113),0)</f>
        <v>0</v>
      </c>
      <c r="AC113" s="130">
        <f>IF(AND(X113&lt;='Haul Input'!$G$27,'Haul Input'!$G$27&lt;=(X113+Z113)),(YIELDGOAL*Y113),0)</f>
        <v>0</v>
      </c>
      <c r="AD113" s="130">
        <f>IF(AND('Haul Input'!$G$27&gt;('Haul Output'!X113+'Haul Output'!Z113),('Haul Input'!$G$27&lt;='Haul Output'!X113+25)),('Haul Input'!$C$22*'Haul Output'!Y113)-(('Haul Input'!$C$22*'Haul Output'!Y113)*('Haul Input'!$G$27-('Haul Output'!X113+'Haul Output'!Z113))/'Haul Output'!AA113),0)</f>
        <v>10</v>
      </c>
      <c r="AE113" s="131">
        <f t="shared" si="2"/>
        <v>10</v>
      </c>
      <c r="AF113" s="115">
        <f>75+(2.5*'Haul Input'!$G$32)</f>
        <v>112.5</v>
      </c>
      <c r="AG113" s="115">
        <v>1.4</v>
      </c>
      <c r="AH113" s="115">
        <v>30</v>
      </c>
      <c r="AI113" s="115">
        <v>20</v>
      </c>
      <c r="AJ113" s="115">
        <f t="shared" si="3"/>
        <v>0</v>
      </c>
      <c r="AK113" s="115">
        <f t="shared" si="4"/>
        <v>35</v>
      </c>
      <c r="AL113" s="115">
        <f aca="true" t="shared" si="6" ref="AL113:AL120">IF(AND(KST&gt;(AF113+AH113),(KST&lt;AF113+50)),(YIELDGOAL*AG113)-((YIELDGOAL*AG113)*(KST-(AF113+AH113))/AI113),0)</f>
        <v>0</v>
      </c>
      <c r="AM113" s="121">
        <f t="shared" si="5"/>
        <v>35</v>
      </c>
      <c r="AN113" s="117" t="s">
        <v>28</v>
      </c>
      <c r="AO113" s="115"/>
    </row>
    <row r="114" spans="15:41" ht="12.75">
      <c r="O114" s="115"/>
      <c r="P114" s="115"/>
      <c r="Q114" s="115"/>
      <c r="R114" s="117" t="s">
        <v>168</v>
      </c>
      <c r="S114" s="115">
        <f>40+0.5*'Haul Input'!G22</f>
        <v>52.5</v>
      </c>
      <c r="T114" s="115"/>
      <c r="U114" s="117" t="s">
        <v>156</v>
      </c>
      <c r="V114" s="130">
        <f>IF(CROPGROWN=U114,YIELDGOAL,20)</f>
        <v>20</v>
      </c>
      <c r="W114" s="132">
        <f>IF(V114&gt;5,4*$V114+30,0)</f>
        <v>110</v>
      </c>
      <c r="X114" s="115">
        <v>15</v>
      </c>
      <c r="Y114" s="127">
        <v>1.3</v>
      </c>
      <c r="Z114" s="130">
        <v>15</v>
      </c>
      <c r="AA114" s="130">
        <v>10</v>
      </c>
      <c r="AB114" s="130">
        <f>IF('Haul Input'!$G$27&lt;X114,((X114-'Haul Input'!$G$27)*5)+(YIELDGOAL*Y114),0)</f>
        <v>0</v>
      </c>
      <c r="AC114" s="130">
        <f>IF(AND(X114&lt;='Haul Input'!$G$27,'Haul Input'!$G$27&lt;=(X114+Z114)),(YIELDGOAL*Y114),0)</f>
        <v>0</v>
      </c>
      <c r="AD114" s="130">
        <f>IF(AND('Haul Input'!$G$27&gt;('Haul Output'!X114+'Haul Output'!Z114),('Haul Input'!$G$27&lt;='Haul Output'!X114+25)),('Haul Input'!$C$22*'Haul Output'!Y114)-(('Haul Input'!$C$22*'Haul Output'!Y114)*('Haul Input'!$G$27-('Haul Output'!X114+'Haul Output'!Z114))/'Haul Output'!AA114),0)</f>
        <v>16.25</v>
      </c>
      <c r="AE114" s="131">
        <f t="shared" si="2"/>
        <v>16.25</v>
      </c>
      <c r="AF114" s="115">
        <f>75+(2.5*'Haul Input'!$G$32)</f>
        <v>112.5</v>
      </c>
      <c r="AG114" s="115">
        <v>3.3</v>
      </c>
      <c r="AH114" s="115">
        <v>30</v>
      </c>
      <c r="AI114" s="115">
        <v>20</v>
      </c>
      <c r="AJ114" s="115">
        <f t="shared" si="3"/>
        <v>0</v>
      </c>
      <c r="AK114" s="115">
        <f t="shared" si="4"/>
        <v>82.5</v>
      </c>
      <c r="AL114" s="115">
        <f t="shared" si="6"/>
        <v>0</v>
      </c>
      <c r="AM114" s="121">
        <f t="shared" si="5"/>
        <v>82.5</v>
      </c>
      <c r="AN114" s="117" t="s">
        <v>156</v>
      </c>
      <c r="AO114" s="115"/>
    </row>
    <row r="115" spans="15:41" ht="12.75">
      <c r="O115" s="115"/>
      <c r="P115" s="115"/>
      <c r="Q115" s="115"/>
      <c r="R115" s="117" t="s">
        <v>158</v>
      </c>
      <c r="S115" s="115">
        <v>20</v>
      </c>
      <c r="T115" s="115"/>
      <c r="U115" s="117" t="s">
        <v>29</v>
      </c>
      <c r="V115" s="130">
        <f>IF(CROPGROWN=U115,YIELDGOAL,60)</f>
        <v>60</v>
      </c>
      <c r="W115" s="130">
        <f>IF(V115&gt;10,-13+1.33*$V115,0)</f>
        <v>66.80000000000001</v>
      </c>
      <c r="X115" s="115">
        <v>25</v>
      </c>
      <c r="Y115" s="127">
        <v>0.63</v>
      </c>
      <c r="Z115" s="130">
        <v>15</v>
      </c>
      <c r="AA115" s="130">
        <v>10</v>
      </c>
      <c r="AB115" s="130">
        <f>IF('Haul Input'!$G$27&lt;X115,((X115-'Haul Input'!$G$27)*5)+(YIELDGOAL*Y115),0)</f>
        <v>0</v>
      </c>
      <c r="AC115" s="130">
        <f>IF(AND(X115&lt;='Haul Input'!$G$27,'Haul Input'!$G$27&lt;=(X115+Z115)),(YIELDGOAL*Y115),0)</f>
        <v>15.75</v>
      </c>
      <c r="AD115" s="130">
        <f>IF(AND('Haul Input'!$G$27&gt;('Haul Output'!X115+'Haul Output'!Z115),('Haul Input'!$G$27&lt;='Haul Output'!X115+25)),('Haul Input'!$C$22*'Haul Output'!Y115)-(('Haul Input'!$C$22*'Haul Output'!Y115)*('Haul Input'!$G$27-('Haul Output'!X115+'Haul Output'!Z115))/'Haul Output'!AA115),0)</f>
        <v>0</v>
      </c>
      <c r="AE115" s="131">
        <f t="shared" si="2"/>
        <v>15.75</v>
      </c>
      <c r="AF115" s="115">
        <f>75+(2.5*'Haul Input'!$G$32)</f>
        <v>112.5</v>
      </c>
      <c r="AG115" s="115">
        <v>0.37</v>
      </c>
      <c r="AH115" s="115">
        <v>30</v>
      </c>
      <c r="AI115" s="115">
        <v>20</v>
      </c>
      <c r="AJ115" s="115">
        <f t="shared" si="3"/>
        <v>0</v>
      </c>
      <c r="AK115" s="115">
        <f t="shared" si="4"/>
        <v>9.25</v>
      </c>
      <c r="AL115" s="115">
        <f t="shared" si="6"/>
        <v>0</v>
      </c>
      <c r="AM115" s="121">
        <f t="shared" si="5"/>
        <v>9.25</v>
      </c>
      <c r="AN115" s="117" t="s">
        <v>29</v>
      </c>
      <c r="AO115" s="115"/>
    </row>
    <row r="116" spans="15:41" ht="12.75">
      <c r="O116" s="115"/>
      <c r="P116" s="115"/>
      <c r="Q116" s="115"/>
      <c r="R116" s="117" t="s">
        <v>169</v>
      </c>
      <c r="S116" s="115">
        <v>40</v>
      </c>
      <c r="T116" s="115"/>
      <c r="U116" s="117" t="s">
        <v>30</v>
      </c>
      <c r="V116" s="130">
        <f>IF(CROPGROWN=U116,YIELDGOAL,100)</f>
        <v>100</v>
      </c>
      <c r="W116" s="130">
        <f>IF(V116&gt;10,0.4*$V116,0)</f>
        <v>40</v>
      </c>
      <c r="X116" s="115">
        <v>15</v>
      </c>
      <c r="Y116" s="127">
        <v>0.25</v>
      </c>
      <c r="Z116" s="130">
        <v>15</v>
      </c>
      <c r="AA116" s="130">
        <v>10</v>
      </c>
      <c r="AB116" s="130">
        <f>IF('Haul Input'!$G$27&lt;X116,((X116-'Haul Input'!$G$27)*5)+(YIELDGOAL*Y116),0)</f>
        <v>0</v>
      </c>
      <c r="AC116" s="130">
        <f>IF(AND(X116&lt;='Haul Input'!$G$27,'Haul Input'!$G$27&lt;=(X116+Z116)),(YIELDGOAL*Y116),0)</f>
        <v>0</v>
      </c>
      <c r="AD116" s="130">
        <f>IF(AND('Haul Input'!$G$27&gt;('Haul Output'!X116+'Haul Output'!Z116),('Haul Input'!$G$27&lt;='Haul Output'!X116+25)),('Haul Input'!$C$22*'Haul Output'!Y116)-(('Haul Input'!$C$22*'Haul Output'!Y116)*('Haul Input'!$G$27-('Haul Output'!X116+'Haul Output'!Z116))/'Haul Output'!AA116),0)</f>
        <v>3.125</v>
      </c>
      <c r="AE116" s="131">
        <f t="shared" si="2"/>
        <v>3.125</v>
      </c>
      <c r="AF116" s="115">
        <f>75+(2.5*'Haul Input'!$G$32)</f>
        <v>112.5</v>
      </c>
      <c r="AG116" s="115">
        <v>0.19</v>
      </c>
      <c r="AH116" s="115">
        <v>30</v>
      </c>
      <c r="AI116" s="115">
        <v>20</v>
      </c>
      <c r="AJ116" s="115">
        <f t="shared" si="3"/>
        <v>0</v>
      </c>
      <c r="AK116" s="115">
        <f t="shared" si="4"/>
        <v>4.75</v>
      </c>
      <c r="AL116" s="115">
        <f t="shared" si="6"/>
        <v>0</v>
      </c>
      <c r="AM116" s="121">
        <f t="shared" si="5"/>
        <v>4.75</v>
      </c>
      <c r="AN116" s="117" t="s">
        <v>30</v>
      </c>
      <c r="AO116" s="115"/>
    </row>
    <row r="117" spans="15:41" ht="12.75">
      <c r="O117" s="115"/>
      <c r="P117" s="115"/>
      <c r="Q117" s="115"/>
      <c r="R117" s="117" t="s">
        <v>170</v>
      </c>
      <c r="S117" s="115">
        <f>30+0.5*'Haul Input'!$G$22</f>
        <v>42.5</v>
      </c>
      <c r="T117" s="115"/>
      <c r="U117" s="117" t="s">
        <v>185</v>
      </c>
      <c r="V117" s="130">
        <f>IF(CROPGROWN=U117,YIELDGOAL,8)</f>
        <v>8</v>
      </c>
      <c r="W117" s="130">
        <f>IF(V117&gt;0,0,0)</f>
        <v>0</v>
      </c>
      <c r="X117" s="115">
        <v>25</v>
      </c>
      <c r="Y117" s="127">
        <v>13</v>
      </c>
      <c r="Z117" s="130">
        <v>15</v>
      </c>
      <c r="AA117" s="130">
        <v>10</v>
      </c>
      <c r="AB117" s="130">
        <f>IF('Haul Input'!$G$27&lt;X117,((X117-'Haul Input'!$G$27)*5)+(YIELDGOAL*Y117),0)</f>
        <v>0</v>
      </c>
      <c r="AC117" s="130">
        <f>IF(AND(X117&lt;='Haul Input'!$G$27,'Haul Input'!$G$27&lt;=(X117+Z117)),(YIELDGOAL*Y117),0)</f>
        <v>325</v>
      </c>
      <c r="AD117" s="130">
        <f>IF(AND('Haul Input'!$G$27&gt;('Haul Output'!X117+'Haul Output'!Z117),('Haul Input'!$G$27&lt;='Haul Output'!X117+25)),('Haul Input'!$C$22*'Haul Output'!Y117)-(('Haul Input'!$C$22*'Haul Output'!Y117)*('Haul Input'!$G$27-('Haul Output'!X117+'Haul Output'!Z117))/'Haul Output'!AA117),0)</f>
        <v>0</v>
      </c>
      <c r="AE117" s="131">
        <f t="shared" si="2"/>
        <v>325</v>
      </c>
      <c r="AF117" s="115">
        <f>75+(2.5*'Haul Input'!$G$32)</f>
        <v>112.5</v>
      </c>
      <c r="AG117" s="115">
        <v>50</v>
      </c>
      <c r="AH117" s="115">
        <v>0</v>
      </c>
      <c r="AI117" s="115">
        <v>50</v>
      </c>
      <c r="AJ117" s="115">
        <f t="shared" si="3"/>
        <v>0</v>
      </c>
      <c r="AK117" s="115">
        <f t="shared" si="4"/>
        <v>0</v>
      </c>
      <c r="AL117" s="115">
        <f t="shared" si="6"/>
        <v>937.5</v>
      </c>
      <c r="AM117" s="121">
        <f t="shared" si="5"/>
        <v>937.5</v>
      </c>
      <c r="AN117" s="117" t="s">
        <v>185</v>
      </c>
      <c r="AO117" s="115"/>
    </row>
    <row r="118" spans="15:41" ht="12.75">
      <c r="O118" s="115"/>
      <c r="P118" s="115"/>
      <c r="Q118" s="115"/>
      <c r="R118" s="117" t="s">
        <v>171</v>
      </c>
      <c r="S118" s="115">
        <f>30+0.5*'Haul Input'!$G$22</f>
        <v>42.5</v>
      </c>
      <c r="T118" s="115"/>
      <c r="U118" s="117" t="s">
        <v>157</v>
      </c>
      <c r="V118" s="132">
        <f>IF(CROPGROWN=U118,YIELDGOAL,450)</f>
        <v>450</v>
      </c>
      <c r="W118" s="132">
        <f>IF(V118&gt;200,150+((V118-300)*0.3),0)</f>
        <v>195</v>
      </c>
      <c r="X118" s="115">
        <v>60</v>
      </c>
      <c r="Y118" s="127">
        <v>0.13</v>
      </c>
      <c r="Z118" s="130">
        <v>40</v>
      </c>
      <c r="AA118" s="130">
        <v>25</v>
      </c>
      <c r="AB118" s="130">
        <f>IF('Haul Input'!$G$27&lt;X118,((X118-'Haul Input'!$G$27)*5)+(YIELDGOAL*Y118),0)</f>
        <v>128.25</v>
      </c>
      <c r="AC118" s="130">
        <f>IF(AND(X118&lt;='Haul Input'!$G$27,'Haul Input'!$G$27&lt;=(X118+Z118)),(YIELDGOAL*Y118),0)</f>
        <v>0</v>
      </c>
      <c r="AD118" s="130">
        <f>IF(AND('Haul Input'!$G$27&gt;('Haul Output'!X118+'Haul Output'!Z118),('Haul Input'!$G$27&lt;='Haul Output'!X118+75)),('Haul Input'!$C$22*'Haul Output'!Y118)-(('Haul Input'!$C$22*'Haul Output'!Y118)*('Haul Input'!$G$27-('Haul Output'!X118+'Haul Output'!Z118))/'Haul Output'!AA118),0)</f>
        <v>0</v>
      </c>
      <c r="AE118" s="131">
        <f t="shared" si="2"/>
        <v>128.25</v>
      </c>
      <c r="AF118" s="115">
        <f>75+(2.5*'Haul Input'!$G$32)</f>
        <v>112.5</v>
      </c>
      <c r="AG118" s="115">
        <v>0.63</v>
      </c>
      <c r="AH118" s="115">
        <v>30</v>
      </c>
      <c r="AI118" s="115">
        <v>20</v>
      </c>
      <c r="AJ118" s="115">
        <f t="shared" si="3"/>
        <v>0</v>
      </c>
      <c r="AK118" s="115">
        <f t="shared" si="4"/>
        <v>15.75</v>
      </c>
      <c r="AL118" s="115">
        <f t="shared" si="6"/>
        <v>0</v>
      </c>
      <c r="AM118" s="121">
        <f t="shared" si="5"/>
        <v>15.75</v>
      </c>
      <c r="AN118" s="117" t="s">
        <v>157</v>
      </c>
      <c r="AO118" s="115"/>
    </row>
    <row r="119" spans="15:41" ht="12.75">
      <c r="O119" s="115"/>
      <c r="P119" s="115"/>
      <c r="Q119" s="115"/>
      <c r="R119" s="117" t="s">
        <v>172</v>
      </c>
      <c r="S119" s="115">
        <f>30+0.5*'Haul Input'!$G$22</f>
        <v>42.5</v>
      </c>
      <c r="T119" s="115"/>
      <c r="U119" s="117" t="s">
        <v>31</v>
      </c>
      <c r="V119" s="130">
        <f>IF(CROPGROWN=U119,YIELDGOAL,6)</f>
        <v>6</v>
      </c>
      <c r="W119" s="130">
        <f>IF(V119&gt;1,16.7*V119,0)</f>
        <v>100.19999999999999</v>
      </c>
      <c r="X119" s="115">
        <v>15</v>
      </c>
      <c r="Y119" s="127">
        <v>17</v>
      </c>
      <c r="Z119" s="130">
        <v>15</v>
      </c>
      <c r="AA119" s="130">
        <v>10</v>
      </c>
      <c r="AB119" s="130">
        <f>IF('Haul Input'!$G$27&lt;X119,((X119-'Haul Input'!$G$27)*5)+(YIELDGOAL*Y119),0)</f>
        <v>0</v>
      </c>
      <c r="AC119" s="130">
        <f>IF(AND(X119&lt;='Haul Input'!$G$27,'Haul Input'!$G$27&lt;=(X119+Z119)),(YIELDGOAL*Y119),0)</f>
        <v>0</v>
      </c>
      <c r="AD119" s="130">
        <f>IF(AND('Haul Input'!$G$27&gt;('Haul Output'!X119+'Haul Output'!Z119),('Haul Input'!$G$27&lt;='Haul Output'!X119+25)),('Haul Input'!$C$22*'Haul Output'!Y119)-(('Haul Input'!$C$22*'Haul Output'!Y119)*('Haul Input'!$G$27-('Haul Output'!X119+'Haul Output'!Z119))/'Haul Output'!AA119),0)</f>
        <v>212.5</v>
      </c>
      <c r="AE119" s="131">
        <f t="shared" si="2"/>
        <v>212.5</v>
      </c>
      <c r="AF119" s="115">
        <f>75+(2.5*'Haul Input'!$G$32)</f>
        <v>112.5</v>
      </c>
      <c r="AG119" s="115">
        <v>62</v>
      </c>
      <c r="AH119" s="115">
        <v>30</v>
      </c>
      <c r="AI119" s="115">
        <v>20</v>
      </c>
      <c r="AJ119" s="115">
        <f t="shared" si="3"/>
        <v>0</v>
      </c>
      <c r="AK119" s="115">
        <f t="shared" si="4"/>
        <v>1550</v>
      </c>
      <c r="AL119" s="115">
        <f t="shared" si="6"/>
        <v>0</v>
      </c>
      <c r="AM119" s="121">
        <f t="shared" si="5"/>
        <v>1550</v>
      </c>
      <c r="AN119" s="117" t="s">
        <v>31</v>
      </c>
      <c r="AO119" s="115"/>
    </row>
    <row r="120" spans="15:41" ht="12.75">
      <c r="O120" s="115"/>
      <c r="P120" s="115"/>
      <c r="Q120" s="115"/>
      <c r="R120" s="115"/>
      <c r="S120" s="115"/>
      <c r="T120" s="115"/>
      <c r="U120" s="117" t="s">
        <v>32</v>
      </c>
      <c r="V120" s="130">
        <f>IF(CROPGROWN=U120,YIELDGOAL,5)</f>
        <v>5</v>
      </c>
      <c r="W120" s="130">
        <f>IF(V120&gt;0,20*V120,0)</f>
        <v>100</v>
      </c>
      <c r="X120" s="115">
        <v>15</v>
      </c>
      <c r="Y120" s="127">
        <v>13</v>
      </c>
      <c r="Z120" s="130">
        <v>15</v>
      </c>
      <c r="AA120" s="130">
        <v>10</v>
      </c>
      <c r="AB120" s="130">
        <f>IF('Haul Input'!$G$27&lt;X120,((X120-'Haul Input'!$G$27)*5)+(YIELDGOAL*Y120),0)</f>
        <v>0</v>
      </c>
      <c r="AC120" s="130">
        <f>IF(AND(X120&lt;='Haul Input'!$G$27,'Haul Input'!$G$27&lt;=(X120+Z120)),(YIELDGOAL*Y120),0)</f>
        <v>0</v>
      </c>
      <c r="AD120" s="130">
        <f>IF(AND('Haul Input'!$G$27&gt;('Haul Output'!X120+'Haul Output'!Z120),('Haul Input'!$G$27&lt;='Haul Output'!X120+25)),('Haul Input'!$C$22*'Haul Output'!Y120)-(('Haul Input'!$C$22*'Haul Output'!Y120)*('Haul Input'!$G$27-('Haul Output'!X120+'Haul Output'!Z120))/'Haul Output'!AA120),0)</f>
        <v>162.5</v>
      </c>
      <c r="AE120" s="131">
        <f t="shared" si="2"/>
        <v>162.5</v>
      </c>
      <c r="AF120" s="115">
        <f>75+(2.5*'Haul Input'!$G$32)</f>
        <v>112.5</v>
      </c>
      <c r="AG120" s="115">
        <v>51</v>
      </c>
      <c r="AH120" s="115">
        <v>30</v>
      </c>
      <c r="AI120" s="115">
        <v>20</v>
      </c>
      <c r="AJ120" s="115">
        <f t="shared" si="3"/>
        <v>0</v>
      </c>
      <c r="AK120" s="115">
        <f t="shared" si="4"/>
        <v>1275</v>
      </c>
      <c r="AL120" s="115">
        <f t="shared" si="6"/>
        <v>0</v>
      </c>
      <c r="AM120" s="121">
        <f t="shared" si="5"/>
        <v>1275</v>
      </c>
      <c r="AN120" s="117" t="s">
        <v>32</v>
      </c>
      <c r="AO120" s="115"/>
    </row>
    <row r="121" spans="15:41" ht="12.75">
      <c r="O121" s="115"/>
      <c r="P121" s="115"/>
      <c r="Q121" s="115"/>
      <c r="R121" s="115"/>
      <c r="S121" s="115"/>
      <c r="T121" s="115"/>
      <c r="U121" s="117" t="s">
        <v>33</v>
      </c>
      <c r="V121" s="130">
        <f>IF(CROPGROWN=U121,YIELDGOAL,6)</f>
        <v>6</v>
      </c>
      <c r="W121" s="130">
        <f>IF(V121&gt;0,8.33*V121,0)</f>
        <v>49.980000000000004</v>
      </c>
      <c r="X121" s="115">
        <v>20</v>
      </c>
      <c r="Y121" s="127">
        <v>13</v>
      </c>
      <c r="Z121" s="130">
        <v>15</v>
      </c>
      <c r="AA121" s="130">
        <v>10</v>
      </c>
      <c r="AB121" s="130">
        <f>IF('Haul Input'!$G$27&lt;X121,((X121-'Haul Input'!$G$27)*5)+(YIELDGOAL*Y121),0)</f>
        <v>0</v>
      </c>
      <c r="AC121" s="130">
        <f>IF(AND(X121&lt;='Haul Input'!$G$27,'Haul Input'!$G$27&lt;=(X121+Z121)),(YIELDGOAL*Y121),0)</f>
        <v>325</v>
      </c>
      <c r="AD121" s="130">
        <f>IF(AND('Haul Input'!$G$27&gt;('Haul Output'!X121+'Haul Output'!Z121),('Haul Input'!$G$27&lt;='Haul Output'!X121+25)),('Haul Input'!$C$22*'Haul Output'!Y121)-(('Haul Input'!$C$22*'Haul Output'!Y121)*('Haul Input'!$G$27-('Haul Output'!X121+'Haul Output'!Z121))/'Haul Output'!AA121),0)</f>
        <v>0</v>
      </c>
      <c r="AE121" s="131">
        <f t="shared" si="2"/>
        <v>325</v>
      </c>
      <c r="AF121" s="115">
        <f>75+(2.5*'Haul Input'!$G$32)</f>
        <v>112.5</v>
      </c>
      <c r="AG121" s="115">
        <v>39</v>
      </c>
      <c r="AH121" s="115">
        <v>10</v>
      </c>
      <c r="AI121" s="115">
        <v>50</v>
      </c>
      <c r="AJ121" s="115">
        <f t="shared" si="3"/>
        <v>0</v>
      </c>
      <c r="AK121" s="115">
        <f t="shared" si="4"/>
        <v>0</v>
      </c>
      <c r="AL121" s="115">
        <f>IF(AND(KST&gt;(AF121+AH121),(KST&lt;AF121+60)),(YIELDGOAL*AG121)-((YIELDGOAL*AG121)*(KST-(AF121+AH121))/AI121),0)</f>
        <v>926.25</v>
      </c>
      <c r="AM121" s="121">
        <f t="shared" si="5"/>
        <v>926.25</v>
      </c>
      <c r="AN121" s="117" t="s">
        <v>33</v>
      </c>
      <c r="AO121" s="115"/>
    </row>
    <row r="122" spans="15:41" ht="12.75">
      <c r="O122" s="115"/>
      <c r="P122" s="115"/>
      <c r="Q122" s="115"/>
      <c r="R122" s="115"/>
      <c r="S122" s="115"/>
      <c r="T122" s="115"/>
      <c r="U122" s="117" t="s">
        <v>34</v>
      </c>
      <c r="V122" s="130">
        <f>IF(CROPGROWN=U122,YIELDGOAL,8)</f>
        <v>8</v>
      </c>
      <c r="W122" s="130">
        <f>IF(V122&gt;0,18.8*$V122,0)</f>
        <v>150.4</v>
      </c>
      <c r="X122" s="115">
        <v>15</v>
      </c>
      <c r="Y122" s="127">
        <v>4.6</v>
      </c>
      <c r="Z122" s="130">
        <v>15</v>
      </c>
      <c r="AA122" s="130">
        <v>10</v>
      </c>
      <c r="AB122" s="130">
        <f>IF('Haul Input'!$G$27&lt;X122,((X122-'Haul Input'!$G$27)*5)+(YIELDGOAL*Y122),0)</f>
        <v>0</v>
      </c>
      <c r="AC122" s="130">
        <f>IF(AND(X122&lt;='Haul Input'!$G$27,'Haul Input'!$G$27&lt;=(X122+Z122)),(YIELDGOAL*Y122),0)</f>
        <v>0</v>
      </c>
      <c r="AD122" s="130">
        <f>IF(AND('Haul Input'!$G$27&gt;('Haul Output'!X122+'Haul Output'!Z122),('Haul Input'!$G$27&lt;='Haul Output'!X122+25)),('Haul Input'!$C$22*'Haul Output'!Y122)-(('Haul Input'!$C$22*'Haul Output'!Y122)*('Haul Input'!$G$27-('Haul Output'!X122+'Haul Output'!Z122))/'Haul Output'!AA122),0)</f>
        <v>57.5</v>
      </c>
      <c r="AE122" s="131">
        <f t="shared" si="2"/>
        <v>57.5</v>
      </c>
      <c r="AF122" s="115">
        <f>75+(2.5*'Haul Input'!$G$32)</f>
        <v>112.5</v>
      </c>
      <c r="AG122" s="115">
        <v>58</v>
      </c>
      <c r="AH122" s="115">
        <v>30</v>
      </c>
      <c r="AI122" s="115">
        <v>20</v>
      </c>
      <c r="AJ122" s="115">
        <f t="shared" si="3"/>
        <v>0</v>
      </c>
      <c r="AK122" s="115">
        <f t="shared" si="4"/>
        <v>1450</v>
      </c>
      <c r="AL122" s="115">
        <f>IF(AND(KST&gt;(AF122+AH122),(KST&lt;AF122+50)),(YIELDGOAL*AG122)-((YIELDGOAL*AG122)*(KST-(AF122+AH122))/AI122),0)</f>
        <v>0</v>
      </c>
      <c r="AM122" s="121">
        <f t="shared" si="5"/>
        <v>1450</v>
      </c>
      <c r="AN122" s="117" t="s">
        <v>34</v>
      </c>
      <c r="AO122" s="115"/>
    </row>
  </sheetData>
  <sheetProtection password="C1A6" sheet="1" objects="1" scenarios="1" selectLockedCells="1" selectUnlockedCells="1"/>
  <mergeCells count="16">
    <mergeCell ref="X92:AG92"/>
    <mergeCell ref="X93:X95"/>
    <mergeCell ref="Y93:Z93"/>
    <mergeCell ref="AA93:AA95"/>
    <mergeCell ref="AB93:AG93"/>
    <mergeCell ref="Y94:Y95"/>
    <mergeCell ref="Z94:Z95"/>
    <mergeCell ref="AB95:AD95"/>
    <mergeCell ref="AE95:AG95"/>
    <mergeCell ref="A12:D12"/>
    <mergeCell ref="A55:D63"/>
    <mergeCell ref="F1:J91"/>
    <mergeCell ref="E12:E91"/>
    <mergeCell ref="A52:B52"/>
    <mergeCell ref="A1:E1"/>
    <mergeCell ref="A2:C2"/>
  </mergeCell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Battel</dc:creator>
  <cp:keywords/>
  <dc:description/>
  <cp:lastModifiedBy>Sheynerman, Paula D.</cp:lastModifiedBy>
  <cp:lastPrinted>2005-08-18T14:24:49Z</cp:lastPrinted>
  <dcterms:created xsi:type="dcterms:W3CDTF">2005-06-13T12:47:25Z</dcterms:created>
  <dcterms:modified xsi:type="dcterms:W3CDTF">2013-11-22T21:02:34Z</dcterms:modified>
  <cp:category/>
  <cp:version/>
  <cp:contentType/>
  <cp:contentStatus/>
</cp:coreProperties>
</file>