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80" yWindow="65456" windowWidth="33820" windowHeight="18940" tabRatio="893" activeTab="0"/>
  </bookViews>
  <sheets>
    <sheet name="Introduction" sheetId="1" r:id="rId1"/>
    <sheet name="1 Enterprises" sheetId="2" r:id="rId2"/>
    <sheet name="2 Income Statement" sheetId="3" r:id="rId3"/>
    <sheet name="3 Fertilizer" sheetId="4" r:id="rId4"/>
    <sheet name="4 Pesticide" sheetId="5" r:id="rId5"/>
    <sheet name="5 Substrate" sheetId="6" r:id="rId6"/>
    <sheet name="6 Overwintering" sheetId="7" r:id="rId7"/>
    <sheet name="7 Labor Help" sheetId="8" r:id="rId8"/>
    <sheet name="8 Cost of Production" sheetId="9" r:id="rId9"/>
    <sheet name="9 COP Summary" sheetId="10" r:id="rId10"/>
    <sheet name="10 Sale Price Projection" sheetId="11" r:id="rId11"/>
  </sheets>
  <definedNames>
    <definedName name="_xlnm.Print_Area" localSheetId="2">'2 Income Statement'!$B$1:$F$69</definedName>
    <definedName name="_xlnm.Print_Area" localSheetId="8">'8 Cost of Production'!$B$1:$G$85</definedName>
  </definedNames>
  <calcPr fullCalcOnLoad="1"/>
</workbook>
</file>

<file path=xl/comments1.xml><?xml version="1.0" encoding="utf-8"?>
<comments xmlns="http://schemas.openxmlformats.org/spreadsheetml/2006/main">
  <authors>
    <author>rbetz</author>
  </authors>
  <commentList>
    <comment ref="B61" authorId="0">
      <text>
        <r>
          <rPr>
            <b/>
            <sz val="9"/>
            <rFont val="Tahoma"/>
            <family val="0"/>
          </rPr>
          <t>Look for little Red Triangles where help message are located.  By placing the pointer over the cell a "help message" should pop up.</t>
        </r>
      </text>
    </comment>
  </commentList>
</comments>
</file>

<file path=xl/comments11.xml><?xml version="1.0" encoding="utf-8"?>
<comments xmlns="http://schemas.openxmlformats.org/spreadsheetml/2006/main">
  <authors>
    <author>rbetz</author>
  </authors>
  <commentList>
    <comment ref="B25" authorId="0">
      <text>
        <r>
          <rPr>
            <b/>
            <sz val="9"/>
            <rFont val="Tahoma"/>
            <family val="0"/>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comments2.xml><?xml version="1.0" encoding="utf-8"?>
<comments xmlns="http://schemas.openxmlformats.org/spreadsheetml/2006/main">
  <authors>
    <author>rbetz</author>
  </authors>
  <commentList>
    <comment ref="B12" authorId="0">
      <text>
        <r>
          <rPr>
            <b/>
            <sz val="9"/>
            <rFont val="Tahoma"/>
            <family val="0"/>
          </rPr>
          <t>Land Available for plant production excludes roadways, walkways, structures, irrigation equipment and other physical restraints.</t>
        </r>
        <r>
          <rPr>
            <sz val="9"/>
            <rFont val="Tahoma"/>
            <family val="0"/>
          </rPr>
          <t xml:space="preserve">
</t>
        </r>
      </text>
    </comment>
    <comment ref="D5" authorId="0">
      <text>
        <r>
          <rPr>
            <sz val="9"/>
            <rFont val="Tahoma"/>
            <family val="0"/>
          </rPr>
          <t xml:space="preserve">
The enterprise/names/titles used here are carried through out the work sheet. The enterprises are your different plants or groups of plants that you are trying to estimate various "Break- Even" cost.</t>
        </r>
      </text>
    </comment>
  </commentList>
</comments>
</file>

<file path=xl/comments3.xml><?xml version="1.0" encoding="utf-8"?>
<comments xmlns="http://schemas.openxmlformats.org/spreadsheetml/2006/main">
  <authors>
    <author>rbetz</author>
  </authors>
  <commentList>
    <comment ref="F4" authorId="0">
      <text>
        <r>
          <rPr>
            <b/>
            <sz val="9"/>
            <rFont val="Tahoma"/>
            <family val="0"/>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rFont val="Tahoma"/>
            <family val="2"/>
          </rPr>
          <t>Note:  It is assumed the financial records are kept on a cash basi</t>
        </r>
        <r>
          <rPr>
            <i/>
            <sz val="9"/>
            <rFont val="Tahoma"/>
            <family val="2"/>
          </rPr>
          <t xml:space="preserve">s.  </t>
        </r>
      </text>
    </comment>
    <comment ref="G4" authorId="0">
      <text>
        <r>
          <rPr>
            <b/>
            <sz val="9"/>
            <rFont val="Tahoma"/>
            <family val="0"/>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rFont val="Tahoma"/>
            <family val="2"/>
          </rPr>
          <t xml:space="preserve">Note:  It is assumed the financial records are kept on a cash basis.  </t>
        </r>
      </text>
    </comment>
    <comment ref="B52" authorId="0">
      <text>
        <r>
          <rPr>
            <sz val="9"/>
            <rFont val="Tahoma"/>
            <family val="0"/>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67" authorId="0">
      <text>
        <r>
          <rPr>
            <sz val="9"/>
            <rFont val="Tahoma"/>
            <family val="0"/>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B60"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68" authorId="0">
      <text>
        <r>
          <rPr>
            <sz val="9"/>
            <rFont val="Tahoma"/>
            <family val="0"/>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 ref="B54" authorId="0">
      <text>
        <r>
          <rPr>
            <sz val="9"/>
            <rFont val="Tahoma"/>
            <family val="0"/>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35" authorId="0">
      <text>
        <r>
          <rPr>
            <b/>
            <sz val="9"/>
            <rFont val="Tahoma"/>
            <family val="0"/>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36" authorId="0">
      <text>
        <r>
          <rPr>
            <b/>
            <sz val="9"/>
            <rFont val="Tahoma"/>
            <family val="0"/>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D60"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List>
</comments>
</file>

<file path=xl/comments4.xml><?xml version="1.0" encoding="utf-8"?>
<comments xmlns="http://schemas.openxmlformats.org/spreadsheetml/2006/main">
  <authors>
    <author>rbetz</author>
  </authors>
  <commentList>
    <comment ref="I2" authorId="0">
      <text>
        <r>
          <rPr>
            <sz val="9"/>
            <rFont val="Tahoma"/>
            <family val="0"/>
          </rPr>
          <t>Conversion factors can be found on the internet.
Select the conversion factor to multiply (not divide) by to get desired result.</t>
        </r>
      </text>
    </comment>
  </commentList>
</comments>
</file>

<file path=xl/comments6.xml><?xml version="1.0" encoding="utf-8"?>
<comments xmlns="http://schemas.openxmlformats.org/spreadsheetml/2006/main">
  <authors>
    <author>rbetz</author>
  </authors>
  <commentList>
    <comment ref="D2" authorId="0">
      <text>
        <r>
          <rPr>
            <b/>
            <sz val="9"/>
            <rFont val="Tahoma"/>
            <family val="0"/>
          </rPr>
          <t>Container volume can be found on most manufacturer's web sites or should be available from sales representatives of container or substrate suppliers.</t>
        </r>
        <r>
          <rPr>
            <sz val="9"/>
            <rFont val="Tahoma"/>
            <family val="0"/>
          </rPr>
          <t xml:space="preserve">
</t>
        </r>
      </text>
    </comment>
  </commentList>
</comments>
</file>

<file path=xl/comments7.xml><?xml version="1.0" encoding="utf-8"?>
<comments xmlns="http://schemas.openxmlformats.org/spreadsheetml/2006/main">
  <authors>
    <author>rbetz</author>
  </authors>
  <commentList>
    <comment ref="J2" authorId="0">
      <text>
        <r>
          <rPr>
            <b/>
            <sz val="9"/>
            <rFont val="Tahoma"/>
            <family val="0"/>
          </rPr>
          <t>Space available for plants under protection excluding walkways, heaters, support structure, and any other physical constraints.</t>
        </r>
        <r>
          <rPr>
            <sz val="9"/>
            <rFont val="Tahoma"/>
            <family val="0"/>
          </rPr>
          <t xml:space="preserve">
</t>
        </r>
      </text>
    </comment>
  </commentList>
</comments>
</file>

<file path=xl/comments8.xml><?xml version="1.0" encoding="utf-8"?>
<comments xmlns="http://schemas.openxmlformats.org/spreadsheetml/2006/main">
  <authors>
    <author>rbetz</author>
  </authors>
  <commentList>
    <comment ref="F4" authorId="0">
      <text>
        <r>
          <rPr>
            <sz val="9"/>
            <rFont val="Tahoma"/>
            <family val="0"/>
          </rPr>
          <t xml:space="preserve">Pay rate needs to include FICA and other labor cost. This often runs 7 to 50% of base pay rate </t>
        </r>
      </text>
    </comment>
  </commentList>
</comments>
</file>

<file path=xl/comments9.xml><?xml version="1.0" encoding="utf-8"?>
<comments xmlns="http://schemas.openxmlformats.org/spreadsheetml/2006/main">
  <authors>
    <author>rbetz</author>
  </authors>
  <commentList>
    <comment ref="B6" authorId="0">
      <text>
        <r>
          <rPr>
            <b/>
            <sz val="9"/>
            <rFont val="Tahoma"/>
            <family val="0"/>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B19" authorId="0">
      <text>
        <r>
          <rPr>
            <b/>
            <sz val="9"/>
            <rFont val="Tahoma"/>
            <family val="0"/>
          </rPr>
          <t>Go to worksheet 4 "Pesticide Cost" for input</t>
        </r>
      </text>
    </comment>
    <comment ref="B18" authorId="0">
      <text>
        <r>
          <rPr>
            <b/>
            <sz val="9"/>
            <rFont val="Tahoma"/>
            <family val="0"/>
          </rPr>
          <t xml:space="preserve">Go to Worksheet 3 "Fertilizer Cost" for input
</t>
        </r>
      </text>
    </comment>
    <comment ref="B24" authorId="0">
      <text>
        <r>
          <rPr>
            <b/>
            <sz val="9"/>
            <rFont val="Tahoma"/>
            <family val="0"/>
          </rPr>
          <t>Go to Worksheet 6 "Over wintering Cost" for input</t>
        </r>
      </text>
    </comment>
    <comment ref="B21" authorId="0">
      <text>
        <r>
          <rPr>
            <b/>
            <sz val="9"/>
            <rFont val="Tahoma"/>
            <family val="0"/>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B20" authorId="0">
      <text>
        <r>
          <rPr>
            <b/>
            <sz val="9"/>
            <rFont val="Tahoma"/>
            <family val="0"/>
          </rPr>
          <t>Go to Worksheet 7 "Labor Cost" for help in estimating these cost</t>
        </r>
      </text>
    </comment>
    <comment ref="B23" authorId="0">
      <text>
        <r>
          <rPr>
            <b/>
            <sz val="9"/>
            <rFont val="Tahoma"/>
            <family val="0"/>
          </rPr>
          <t>Go to Worksheet 7 "Labor Cost" for help in estimating these cost</t>
        </r>
      </text>
    </comment>
    <comment ref="B32" authorId="0">
      <text>
        <r>
          <rPr>
            <b/>
            <sz val="9"/>
            <rFont val="Tahoma"/>
            <family val="0"/>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B77" authorId="0">
      <text>
        <r>
          <rPr>
            <b/>
            <sz val="9"/>
            <rFont val="Tahoma"/>
            <family val="0"/>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text>
        <r>
          <rPr>
            <b/>
            <sz val="9"/>
            <rFont val="Tahoma"/>
            <family val="0"/>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text>
        <r>
          <rPr>
            <b/>
            <sz val="9"/>
            <rFont val="Tahoma"/>
            <family val="0"/>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text>
        <r>
          <rPr>
            <b/>
            <sz val="9"/>
            <rFont val="Tahoma"/>
            <family val="0"/>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4" authorId="0">
      <text>
        <r>
          <rPr>
            <b/>
            <sz val="9"/>
            <rFont val="Tahoma"/>
            <family val="0"/>
          </rPr>
          <t>Note 1: Inventory Carrying Cost is Calculated from Day 1</t>
        </r>
        <r>
          <rPr>
            <sz val="9"/>
            <rFont val="Tahoma"/>
            <family val="0"/>
          </rPr>
          <t xml:space="preserve">
</t>
        </r>
      </text>
    </comment>
    <comment ref="C15" authorId="0">
      <text>
        <r>
          <rPr>
            <b/>
            <sz val="9"/>
            <rFont val="Tahoma"/>
            <family val="0"/>
          </rPr>
          <t>Note 1: Inventory Carrying Cost is Calculated from Day 1</t>
        </r>
        <r>
          <rPr>
            <sz val="9"/>
            <rFont val="Tahoma"/>
            <family val="0"/>
          </rPr>
          <t xml:space="preserve">
</t>
        </r>
      </text>
    </comment>
    <comment ref="C16" authorId="0">
      <text>
        <r>
          <rPr>
            <b/>
            <sz val="9"/>
            <rFont val="Tahoma"/>
            <family val="0"/>
          </rPr>
          <t>Note 1: Inventory Carrying Cost is Calculated from Day 1</t>
        </r>
        <r>
          <rPr>
            <sz val="9"/>
            <rFont val="Tahoma"/>
            <family val="0"/>
          </rPr>
          <t xml:space="preserve">
</t>
        </r>
      </text>
    </comment>
    <comment ref="C17" authorId="0">
      <text>
        <r>
          <rPr>
            <b/>
            <sz val="9"/>
            <rFont val="Tahoma"/>
            <family val="0"/>
          </rPr>
          <t>Note 1: Inventory Carrying Cost is Calculated from Day 1</t>
        </r>
        <r>
          <rPr>
            <sz val="9"/>
            <rFont val="Tahoma"/>
            <family val="0"/>
          </rPr>
          <t xml:space="preserve">
</t>
        </r>
      </text>
    </comment>
    <comment ref="C20" authorId="0">
      <text>
        <r>
          <rPr>
            <b/>
            <sz val="9"/>
            <rFont val="Tahoma"/>
            <family val="0"/>
          </rPr>
          <t>Note 1: Inventory Carrying Cost is Calculated from Day 1</t>
        </r>
        <r>
          <rPr>
            <sz val="9"/>
            <rFont val="Tahoma"/>
            <family val="0"/>
          </rPr>
          <t xml:space="preserve">
</t>
        </r>
      </text>
    </comment>
    <comment ref="C23" authorId="0">
      <text>
        <r>
          <rPr>
            <b/>
            <sz val="9"/>
            <rFont val="Tahoma"/>
            <family val="0"/>
          </rPr>
          <t>Note 3: No Inventory Carrying Cost</t>
        </r>
        <r>
          <rPr>
            <sz val="9"/>
            <rFont val="Tahoma"/>
            <family val="0"/>
          </rPr>
          <t xml:space="preserve">
</t>
        </r>
      </text>
    </comment>
    <comment ref="C25" authorId="0">
      <text>
        <r>
          <rPr>
            <b/>
            <sz val="9"/>
            <rFont val="Tahoma"/>
            <family val="0"/>
          </rPr>
          <t>Note 3: No Inventory Carrying Cost</t>
        </r>
        <r>
          <rPr>
            <sz val="9"/>
            <rFont val="Tahoma"/>
            <family val="0"/>
          </rPr>
          <t xml:space="preserve">
</t>
        </r>
      </text>
    </comment>
    <comment ref="C1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9"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2"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4"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6"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7"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06"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C62"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F43" authorId="0">
      <text>
        <r>
          <rPr>
            <b/>
            <sz val="9"/>
            <rFont val="Tahoma"/>
            <family val="0"/>
          </rPr>
          <t>Use this comparison to evaluate the enterprise budgets. Do they seem reasonable considering the expenses used to create the income statement from the prior year?</t>
        </r>
      </text>
    </comment>
  </commentList>
</comments>
</file>

<file path=xl/sharedStrings.xml><?xml version="1.0" encoding="utf-8"?>
<sst xmlns="http://schemas.openxmlformats.org/spreadsheetml/2006/main" count="1028" uniqueCount="451">
  <si>
    <t>Percent of acre available for production</t>
  </si>
  <si>
    <t>Actual Number of Plants Sold</t>
  </si>
  <si>
    <t>Number of planted sold</t>
  </si>
  <si>
    <t>Estimated Number of Units Sold</t>
  </si>
  <si>
    <t>dudek@msu.edu</t>
  </si>
  <si>
    <t>Dr. Bridget Behe, Professor, MSU Dept. of Horticulture</t>
  </si>
  <si>
    <t>Version 03.02.09 Example</t>
  </si>
  <si>
    <t>Total Economic Cost Per Plant Sold</t>
  </si>
  <si>
    <t xml:space="preserve">commodity at your economic cost would provide the returns to unpaid </t>
  </si>
  <si>
    <t>Fertilizer cost/ cubic yard IF INCORPORATE</t>
  </si>
  <si>
    <t>Table 3. Fertilizer Cost per Unit of Production- do not include cost for fertilizer incorporated with substrate, use Substrate worksheet 5.</t>
  </si>
  <si>
    <t>Average Spacing in Row (ft) per Unit (center to center)</t>
  </si>
  <si>
    <t>Average Spacing Between Rows (ft) per Unit (center to center)</t>
  </si>
  <si>
    <t>Pounds fertilizer incorporated per cubic yard</t>
  </si>
  <si>
    <t>Fertilizer cost per pound</t>
  </si>
  <si>
    <t>This calculation is used to determine the crop price</t>
  </si>
  <si>
    <t>-</t>
  </si>
  <si>
    <t xml:space="preserve">government payments, custom work. It covers direct </t>
  </si>
  <si>
    <t>+</t>
  </si>
  <si>
    <t>overhead, plus expenditures required for family living</t>
  </si>
  <si>
    <t>and income taxes.</t>
  </si>
  <si>
    <t>=</t>
  </si>
  <si>
    <t>government payments and custom work, that covers</t>
  </si>
  <si>
    <t>service debt and an annual planned expenditure for</t>
  </si>
  <si>
    <t>e.g. machinery, equipment, tile, and buildings.</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</si>
  <si>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</si>
  <si>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</si>
  <si>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</si>
  <si>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</si>
  <si>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</si>
  <si>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</si>
  <si>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</si>
  <si>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</si>
  <si>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</si>
  <si>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</si>
  <si>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</si>
  <si>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</si>
  <si>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</si>
  <si>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Percent of planted sold</t>
  </si>
  <si>
    <t>Total Accounting Overhead Expense</t>
  </si>
  <si>
    <t>Square Foot Weeks</t>
  </si>
  <si>
    <t>Farm Combined Economic Profit</t>
  </si>
  <si>
    <t>DIRECT COST per Unit planted</t>
  </si>
  <si>
    <t>*Container volume can be found on most manufacturer's web sites or should be available from sales representatives of container or substrate suppliers</t>
  </si>
  <si>
    <t>Possible Units Planted per Acre</t>
  </si>
  <si>
    <t>Cost/acre</t>
  </si>
  <si>
    <t>Pesticide 8</t>
  </si>
  <si>
    <t>Pesticide 9</t>
  </si>
  <si>
    <t>Pesticide 10</t>
  </si>
  <si>
    <t>Bulk pesticide cost</t>
  </si>
  <si>
    <t>Pesticide 6</t>
  </si>
  <si>
    <t>Pesticide 7</t>
  </si>
  <si>
    <t>Pesticide 5</t>
  </si>
  <si>
    <t>Pesticide 4</t>
  </si>
  <si>
    <t>Income Item</t>
  </si>
  <si>
    <t>Total Pesticide Cost/unit</t>
  </si>
  <si>
    <t>Cost/unit</t>
  </si>
  <si>
    <t>Substrate cost/unit</t>
  </si>
  <si>
    <t>Amount (pounds, ounces, etc) in bulk container</t>
  </si>
  <si>
    <t>Units/acre</t>
  </si>
  <si>
    <t>Meet Cash Flow Demands per Unit</t>
  </si>
  <si>
    <t>Column 2  (+)</t>
  </si>
  <si>
    <t>Column 3  (=)</t>
  </si>
  <si>
    <t>(A)</t>
  </si>
  <si>
    <t>Estimated Sale  Date</t>
  </si>
  <si>
    <t>Square feet covered</t>
  </si>
  <si>
    <t>Protection type</t>
  </si>
  <si>
    <t>Poly house</t>
  </si>
  <si>
    <t>Winter blanket</t>
  </si>
  <si>
    <t>Life-time of material (years)</t>
  </si>
  <si>
    <t>Total Acres Used in Production</t>
  </si>
  <si>
    <t>Column 1  (-)</t>
  </si>
  <si>
    <t>Total Economic Overhead Cost per Unit sold</t>
  </si>
  <si>
    <t>Total Economic Costs per Unit sold</t>
  </si>
  <si>
    <t>Units Sold each Crop Enterprise</t>
  </si>
  <si>
    <t>Direct Cost per plant</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</si>
  <si>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</si>
  <si>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</si>
  <si>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</si>
  <si>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</si>
  <si>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</si>
  <si>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</si>
  <si>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</si>
  <si>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</si>
  <si>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</si>
  <si>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</si>
  <si>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</si>
  <si>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</si>
  <si>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Minus Depreciation                        </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</si>
  <si>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</si>
  <si>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</si>
  <si>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</si>
  <si>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</si>
  <si>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</si>
  <si>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</si>
  <si>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</si>
  <si>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Acres Used in Production</t>
  </si>
  <si>
    <t xml:space="preserve">resources. Selling at less than the economic cost </t>
  </si>
  <si>
    <t xml:space="preserve">“Maintain Net Worth Overhead Cost” </t>
  </si>
  <si>
    <t>COST USING PROJECTED SALES</t>
  </si>
  <si>
    <t>Economic Profit per Acre (all acres)</t>
  </si>
  <si>
    <t>Percent of Planted Sold</t>
  </si>
  <si>
    <t>Column 1</t>
  </si>
  <si>
    <t>variable (or allocable) and of overhead (or non-allocable) cost.</t>
  </si>
  <si>
    <t>the opportunity costs of resources used in the business; e.g. for</t>
  </si>
  <si>
    <t>equity capital and for unpaid family labor. Being able to price a</t>
  </si>
  <si>
    <t>Cost of protection material per roll</t>
  </si>
  <si>
    <t>Actual Number of plants sold</t>
  </si>
  <si>
    <t>Total Nursery Acres Needed</t>
  </si>
  <si>
    <t>Units Planted for Each Crop Enterprise Annually</t>
  </si>
  <si>
    <t>Weighting Factor</t>
  </si>
  <si>
    <t>Maintain Net Worth per Plant Sold</t>
  </si>
  <si>
    <t>Meet Cash Flow Demands per Plant Sold</t>
  </si>
  <si>
    <t>Planting Labor</t>
  </si>
  <si>
    <t># people in crew</t>
  </si>
  <si>
    <t xml:space="preserve">indicates that the price received is not adequate to earn the desired </t>
  </si>
  <si>
    <t>rates of return on unpaid resources.</t>
  </si>
  <si>
    <t>Crop Prices and Crop Revenues Needed to Maintain Net Worth</t>
  </si>
  <si>
    <t>#1 thru #3 Containers</t>
  </si>
  <si>
    <t>#5 thru #10 Containers</t>
  </si>
  <si>
    <t>#15 thru #25 Containers</t>
  </si>
  <si>
    <t>&gt;#25 Containers</t>
  </si>
  <si>
    <t>Maintenance Operation</t>
  </si>
  <si>
    <t>Hand Weeding</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</si>
  <si>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</si>
  <si>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</si>
  <si>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</si>
  <si>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</si>
  <si>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</si>
  <si>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</si>
  <si>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</si>
  <si>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</si>
  <si>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</si>
  <si>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</si>
  <si>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</si>
  <si>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</si>
  <si>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</si>
  <si>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</si>
  <si>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</si>
  <si>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</si>
  <si>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</si>
  <si>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Amount (pounds, kg, etc) in bulk container</t>
  </si>
  <si>
    <t>g</t>
  </si>
  <si>
    <t>ton</t>
  </si>
  <si>
    <t>Unit in bulk</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</si>
  <si>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</si>
  <si>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</si>
  <si>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</si>
  <si>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</si>
  <si>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</si>
  <si>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</si>
  <si>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</si>
  <si>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Average Price Received</t>
  </si>
  <si>
    <t>Snapshot</t>
  </si>
  <si>
    <t>Ovation</t>
  </si>
  <si>
    <t>Cleary 3336F</t>
  </si>
  <si>
    <t>lbs</t>
  </si>
  <si>
    <t>Amount applied/acre</t>
  </si>
  <si>
    <t>Unit (must be same as column D)</t>
  </si>
  <si>
    <t>Unit (lbs, oz, etc)</t>
  </si>
  <si>
    <t>oz</t>
  </si>
  <si>
    <t>Estimated % of crop survived and sold</t>
  </si>
  <si>
    <t>Increase in Net Worth per Plant</t>
  </si>
  <si>
    <t>Net Worth Increase for Farm</t>
  </si>
  <si>
    <t>Cash Surplus or Deficit per Plant sold</t>
  </si>
  <si>
    <t>Cash Surplus or Deficit for Farm</t>
  </si>
  <si>
    <t>Cash Surplus or Deficit for Enterprise</t>
  </si>
  <si>
    <t>Sale Price Needed to meet Profit Goal with Percentage of Estimated Sales</t>
  </si>
  <si>
    <t>Plants per Unit of Production</t>
  </si>
  <si>
    <t>Estimated Gross Income per Unit of Production</t>
  </si>
  <si>
    <t>TOTAL DIRECT COST per Unit planted</t>
  </si>
  <si>
    <t>GROSS MARGIN=G.I.-D.C.per Unit sold</t>
  </si>
  <si>
    <t>Total Accounting Overhead Cost</t>
  </si>
  <si>
    <t>Use this sheet to help estimate various labor cost for different operations.</t>
  </si>
  <si>
    <t>Annual Maintenance Labor</t>
  </si>
  <si>
    <t>Field Harvesting</t>
  </si>
  <si>
    <t>Field Planting</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</si>
  <si>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</si>
  <si>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</si>
  <si>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</si>
  <si>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</si>
  <si>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</si>
  <si>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</si>
  <si>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</si>
  <si>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</si>
  <si>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</si>
  <si>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Container Crop 2</t>
  </si>
  <si>
    <t>Container Crop 3</t>
  </si>
  <si>
    <t>Container Crop 4</t>
  </si>
  <si>
    <t>Container Crop 5</t>
  </si>
  <si>
    <t>Container Crop 6</t>
  </si>
  <si>
    <t>Container Crop 7</t>
  </si>
  <si>
    <t>Container Crop 8</t>
  </si>
  <si>
    <t>Container Crop 9</t>
  </si>
  <si>
    <t>Average Square Feet Needed per Unit</t>
  </si>
  <si>
    <t xml:space="preserve">1. Accounting Costs of Production is the summation of direct </t>
  </si>
  <si>
    <t>2. Economic Costs is the summation of total accounting costs plus</t>
  </si>
  <si>
    <t>Container Size/Final Grade</t>
  </si>
  <si>
    <t>#1</t>
  </si>
  <si>
    <t>#3</t>
  </si>
  <si>
    <t>#10</t>
  </si>
  <si>
    <t>1.5 inch</t>
  </si>
  <si>
    <t xml:space="preserve"> Containers</t>
  </si>
  <si>
    <t xml:space="preserve"> Substrate</t>
  </si>
  <si>
    <t xml:space="preserve"> Liner Cost (Starting plant)</t>
  </si>
  <si>
    <t xml:space="preserve"> Fertilizer</t>
  </si>
  <si>
    <t xml:space="preserve"> Pest Control Chemicals</t>
  </si>
  <si>
    <t xml:space="preserve"> Harvest Materials</t>
  </si>
  <si>
    <t xml:space="preserve"> Other DC 1</t>
  </si>
  <si>
    <t xml:space="preserve"> Other DC 2</t>
  </si>
  <si>
    <t>Inventory Adjusted Income</t>
  </si>
  <si>
    <t>NET BUSINESS INCOME   A-B=C</t>
  </si>
  <si>
    <r>
      <t>Crop Prices and Crop Revenues Required to Meet Cash Flow Demands</t>
    </r>
    <r>
      <rPr>
        <b/>
        <sz val="12"/>
        <rFont val="Arial"/>
        <family val="2"/>
      </rPr>
      <t xml:space="preserve">  </t>
    </r>
    <r>
      <rPr>
        <sz val="12"/>
        <rFont val="Arial"/>
        <family val="2"/>
      </rPr>
      <t xml:space="preserve">    </t>
    </r>
  </si>
  <si>
    <t>Number of Applications per production Cycle</t>
  </si>
  <si>
    <t>Combined Total  Pesticides</t>
  </si>
  <si>
    <t>Container volume (Cubic yards)*</t>
  </si>
  <si>
    <t>Substrate cost/cubic yard</t>
  </si>
  <si>
    <t>Container Crop 15</t>
  </si>
  <si>
    <t>Container Crop 16</t>
  </si>
  <si>
    <t>Container Crop 17</t>
  </si>
  <si>
    <t>Container Crop 18</t>
  </si>
  <si>
    <t>Field Crop 4</t>
  </si>
  <si>
    <t>Field Crop 5</t>
  </si>
  <si>
    <t>Field Crop 6</t>
  </si>
  <si>
    <t>Field Crop 7</t>
  </si>
  <si>
    <t>Beginning Inventory</t>
  </si>
  <si>
    <t>Ending Inventory</t>
  </si>
  <si>
    <t>Enterprise 1</t>
  </si>
  <si>
    <t>Enterprise 2</t>
  </si>
  <si>
    <t>Enterprise 7</t>
  </si>
  <si>
    <t>Enterprise 8</t>
  </si>
  <si>
    <t>Enterprise 9</t>
  </si>
  <si>
    <t>Enterprise 10</t>
  </si>
  <si>
    <t>hours to complete</t>
  </si>
  <si>
    <t>Person hours</t>
  </si>
  <si>
    <t>Pay rate/hour</t>
  </si>
  <si>
    <t>Cost per operation</t>
  </si>
  <si>
    <t>Number of times per year</t>
  </si>
  <si>
    <t>Enterprise 15</t>
  </si>
  <si>
    <t>Enterprise 16</t>
  </si>
  <si>
    <t>Enterprise 17</t>
  </si>
  <si>
    <t>Enterprise 18</t>
  </si>
  <si>
    <t>Enterprise 19</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</si>
  <si>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</si>
  <si>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</si>
  <si>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</si>
  <si>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</si>
  <si>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</si>
  <si>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</si>
  <si>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</si>
  <si>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</si>
  <si>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</si>
  <si>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</si>
  <si>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</si>
  <si>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</si>
  <si>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</si>
  <si>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</si>
  <si>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</si>
  <si>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</si>
  <si>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</si>
  <si>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</si>
  <si>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Enter 13</t>
  </si>
  <si>
    <t>Enter 14</t>
  </si>
  <si>
    <t>Enter 15</t>
  </si>
  <si>
    <t>Enter 16</t>
  </si>
  <si>
    <t>Enter 17</t>
  </si>
  <si>
    <t>Enter 18</t>
  </si>
  <si>
    <t>Enter 19</t>
  </si>
  <si>
    <t>Enter 20</t>
  </si>
  <si>
    <t>Enter 21</t>
  </si>
  <si>
    <t>Enter 22</t>
  </si>
  <si>
    <t>Enter 23</t>
  </si>
  <si>
    <t>Enter 24</t>
  </si>
  <si>
    <t>Enter 25</t>
  </si>
  <si>
    <t>For Container Production Enter 1   For Field Production Enter Units/acre</t>
  </si>
  <si>
    <t>Unit              (must be same as column C*)</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</si>
  <si>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</si>
  <si>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</si>
  <si>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</si>
  <si>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</si>
  <si>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</si>
  <si>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</si>
  <si>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</si>
  <si>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</si>
  <si>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</si>
  <si>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</si>
  <si>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</si>
  <si>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</si>
  <si>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</si>
  <si>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</si>
  <si>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</si>
  <si>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</si>
  <si>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</si>
  <si>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</si>
  <si>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</si>
  <si>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</si>
  <si>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</si>
  <si>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</si>
  <si>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</si>
  <si>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</si>
  <si>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</si>
  <si>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</si>
  <si>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</si>
  <si>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</si>
  <si>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</si>
  <si>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 Labor - Harvest</t>
  </si>
  <si>
    <t xml:space="preserve"> Labor - Maintenance</t>
  </si>
  <si>
    <t xml:space="preserve">  Labor - Management</t>
  </si>
  <si>
    <t>Total Labor - Compare to tax or accounting records</t>
  </si>
  <si>
    <t>Total Sales or Income</t>
  </si>
  <si>
    <t xml:space="preserve">In-Direct or Overhead Cost         </t>
  </si>
  <si>
    <r>
      <t xml:space="preserve">Profit Goal </t>
    </r>
    <r>
      <rPr>
        <b/>
        <u val="single"/>
        <sz val="10"/>
        <rFont val="Arial"/>
        <family val="2"/>
      </rPr>
      <t>(Profit above Economic Cost of Production)</t>
    </r>
  </si>
  <si>
    <t>Weighting Factor Percentage of Total</t>
  </si>
  <si>
    <t>Anticipated Selling Price per Plant</t>
  </si>
  <si>
    <t>Economic Profit per Plant Sold</t>
  </si>
  <si>
    <t>costs associated with the crop, its share of the Business</t>
  </si>
  <si>
    <t>required after receipt of other Business income; e.g.</t>
  </si>
  <si>
    <t>replacement and growth of the Business infrastructure</t>
  </si>
  <si>
    <t>Unit of production container, plug tray, B&amp;B, etc)</t>
  </si>
  <si>
    <t>Container</t>
  </si>
  <si>
    <t>Note 1</t>
  </si>
  <si>
    <t>Note 6:</t>
  </si>
  <si>
    <t>Other Income</t>
  </si>
  <si>
    <t>.</t>
  </si>
  <si>
    <t xml:space="preserve">Projected Selling Price per Plant </t>
  </si>
  <si>
    <t>Maintain Net Worth per Unit sold</t>
  </si>
  <si>
    <t>Misc Income</t>
  </si>
  <si>
    <t>Actual Selling Price</t>
  </si>
  <si>
    <t>Price Increase at 100% of Estimated Sales</t>
  </si>
  <si>
    <t>Table 10. Sale Price Break Even Cost and Pricing</t>
  </si>
  <si>
    <t xml:space="preserve">  You need to manually enter for each enterprise in the Table 8 "Cost of Production"</t>
  </si>
  <si>
    <t xml:space="preserve">Annual Business EXPENSES  </t>
  </si>
  <si>
    <t xml:space="preserve"> * Fuel</t>
  </si>
  <si>
    <t>a. Other Overhead</t>
  </si>
  <si>
    <t>b. Other Overhead</t>
  </si>
  <si>
    <t xml:space="preserve"> * Building Rents</t>
  </si>
  <si>
    <t xml:space="preserve"> * Machinery Leases </t>
  </si>
  <si>
    <t xml:space="preserve"> * Real Estate Taxes</t>
  </si>
  <si>
    <t xml:space="preserve"> * Accounting and Legal Fees</t>
  </si>
  <si>
    <t xml:space="preserve"> * Repairs</t>
  </si>
  <si>
    <t xml:space="preserve"> * Utilities</t>
  </si>
  <si>
    <t>Enterprises</t>
  </si>
  <si>
    <t>Income Statement</t>
  </si>
  <si>
    <t>Difference</t>
  </si>
  <si>
    <t>Percentage</t>
  </si>
  <si>
    <t>Totals</t>
  </si>
  <si>
    <t>Comparison of Direct Cost from Income Statement to Enterprise Direct Cost</t>
  </si>
  <si>
    <t>Table 4. Total Pesticide Cost</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</si>
  <si>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</si>
  <si>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</si>
  <si>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</si>
  <si>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</si>
  <si>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</si>
  <si>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</si>
  <si>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</si>
  <si>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</si>
  <si>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</si>
  <si>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T and R Whole Sale Nursery</t>
  </si>
  <si>
    <t xml:space="preserve">Strategies involve using financial information from past records and developing current projected cost.  </t>
  </si>
  <si>
    <t xml:space="preserve">"In-Direct cost " or overhead cost are allocated to the unit of production using the concept of "square foot weeks" (SFW).  </t>
  </si>
  <si>
    <t>Square foot weeks is determined by multiplying the average area (in ft) by time (in weeks) that it takes to produce the crop.</t>
  </si>
  <si>
    <t>Total Direct cost per unit sold</t>
  </si>
  <si>
    <t>Container Crop 1</t>
  </si>
  <si>
    <t>Field Crop 1</t>
  </si>
  <si>
    <t>Field Crop 2</t>
  </si>
  <si>
    <t>Field Crop 3</t>
  </si>
  <si>
    <t>Container Crop 10</t>
  </si>
  <si>
    <t>Container Crop 11</t>
  </si>
  <si>
    <t>Container Crop 12</t>
  </si>
  <si>
    <t>Container Crop 13</t>
  </si>
  <si>
    <t>Container Crop 14</t>
  </si>
  <si>
    <t>Total overhead cost are captured from the income statement of the most current completed fiscal year.</t>
  </si>
  <si>
    <t>The  allocation of overhead is then determined by calculating the percentage of the total SFW that each enterprise</t>
  </si>
  <si>
    <t>Enterprise 3</t>
  </si>
  <si>
    <t>Enterprise 4</t>
  </si>
  <si>
    <t>Enterprise 5</t>
  </si>
  <si>
    <t>Enterprise 6</t>
  </si>
  <si>
    <t>Cost are separated into variable or "direct cost" and overhead or "in-direct" cost.</t>
  </si>
  <si>
    <t>Enterprise 11</t>
  </si>
  <si>
    <t>Enterprise 12</t>
  </si>
  <si>
    <t>Enterprise 13</t>
  </si>
  <si>
    <t>Enterprise 14</t>
  </si>
  <si>
    <t>In addition a producer derived "weighting factor" can be assigned that gives greater flexibility in the final allocation percentages.</t>
  </si>
  <si>
    <t xml:space="preserve">Developed by: 
</t>
  </si>
  <si>
    <t>Dr. Tom Fernandez, Associate Professor, MSU Dept. of Horticulture</t>
  </si>
  <si>
    <t>2. Breakeven Net Worth Change</t>
  </si>
  <si>
    <t>3. Breakeven Cash Flow</t>
  </si>
  <si>
    <t>1. Economic Cost of Production</t>
  </si>
  <si>
    <t>"Direct cost" per unit of production are entered directly into the enterprise budgets.</t>
  </si>
  <si>
    <t xml:space="preserve"> uses (with the weighting factor) by the total "In-Direct" cost or overhead for the farm as a whole. </t>
  </si>
  <si>
    <t xml:space="preserve">If not, assumptions and adjustments (matching to the future enterprises) should be made to correct to the annualized cost.  </t>
  </si>
  <si>
    <t>Information helpful to utilize the Nursery Cost of Production Calculator</t>
  </si>
  <si>
    <t>Nursery Cost of Production Calculator</t>
  </si>
  <si>
    <t>Production Records</t>
  </si>
  <si>
    <t>Business Income Tax Returns</t>
  </si>
  <si>
    <t>Labor Records</t>
  </si>
  <si>
    <t>Enterprise Cost are determined for:</t>
  </si>
  <si>
    <t>The output includes various sale prices needed to meet management and profitability objectives.</t>
  </si>
  <si>
    <t xml:space="preserve">Worksheets available are for Fertilizer, Pesticides, Substrate, Over wintering materials, and various direct Labor cost. </t>
  </si>
  <si>
    <t>Accounting Records</t>
  </si>
  <si>
    <t>Description of Enterprise</t>
  </si>
  <si>
    <t xml:space="preserve"> Planting Materials (stake, ties, tags, trellis, etc.)</t>
  </si>
  <si>
    <t>Number of times to over winter</t>
  </si>
  <si>
    <t>Over winter plastic application</t>
  </si>
  <si>
    <t>Over winter plastic removal</t>
  </si>
  <si>
    <t>Over winter plant moving</t>
  </si>
  <si>
    <t xml:space="preserve"> Maintenance Labor for Enterprise</t>
  </si>
  <si>
    <t>One Tree</t>
  </si>
  <si>
    <t>One Bush</t>
  </si>
  <si>
    <t>Annual Cost</t>
  </si>
  <si>
    <t>OVERHEAD COSTS for Business</t>
  </si>
  <si>
    <t>required after receipt of other Business income;e.g. fixed</t>
  </si>
  <si>
    <t>Inventory Carrying Cost                   Interest Rate&gt;</t>
  </si>
  <si>
    <t xml:space="preserve">all cash flow expenditures for the Business  </t>
  </si>
  <si>
    <t>Net Worth Increase for Enterprise</t>
  </si>
  <si>
    <t>Green Cells are locations where input can be made. All other cells should be locked</t>
  </si>
  <si>
    <t>Note 2</t>
  </si>
  <si>
    <t>Note 3</t>
  </si>
  <si>
    <t>"Direct cost" are those cost that change proportionally as the units of production change.</t>
  </si>
  <si>
    <t>Table 8. COST OF PRODUCTION</t>
  </si>
  <si>
    <t>Table 9. Cost of Production Summary</t>
  </si>
  <si>
    <t>Look for little Red Triangles where help message are located.  By placing the pointer over the cell a "help message" should pop up.</t>
  </si>
  <si>
    <t>betz@msu.edu</t>
  </si>
  <si>
    <t>fernan15@msu.edu</t>
  </si>
  <si>
    <t>Email Addresses</t>
  </si>
  <si>
    <t>Up to 25 different  enterprises can be simultaneously analyzed.</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</si>
  <si>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</si>
  <si>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</si>
  <si>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</si>
  <si>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</si>
  <si>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</si>
  <si>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</si>
  <si>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This work sheet is designed to assist the manager/owner in developing estimated cost for their nursery business.</t>
  </si>
  <si>
    <t>"In-Direct" are cost that tend not to change as units of production change.</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</si>
  <si>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</si>
  <si>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</si>
  <si>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</si>
  <si>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</si>
  <si>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</si>
  <si>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</si>
  <si>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</si>
  <si>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</si>
  <si>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"Meet Cash Flow Demands" per plant sold</t>
  </si>
  <si>
    <t>"Maintain Net Worth" per plant sold</t>
  </si>
  <si>
    <t>Maintain Net Worth per plant sold</t>
  </si>
  <si>
    <t>Meet Cash Flow Demands per plant sold</t>
  </si>
  <si>
    <t>Total Economic Cost per plant sold</t>
  </si>
  <si>
    <t>Total "Economic Cost" per plant sold</t>
  </si>
  <si>
    <t>Tom Dudek, District Horticulture and Marketing Educator, MSU Extension</t>
  </si>
  <si>
    <t>Table 6. Over Wintering Direct Cost</t>
  </si>
  <si>
    <t xml:space="preserve">Of course, major assumptions are made that the business overhead is relatively the same as that competed business year.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</si>
</sst>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0"/>
    <numFmt numFmtId="171" formatCode="&quot;Yes&quot;;&quot;Yes&quot;;&quot;No&quot;"/>
    <numFmt numFmtId="172" formatCode="&quot;True&quot;;&quot;True&quot;;&quot;False&quot;"/>
    <numFmt numFmtId="173" formatCode="&quot;On&quot;;&quot;On&quot;;&quot;Off&quot;"/>
    <numFmt numFmtId="174" formatCode="&quot;$&quot;#,##0.0_);[Red]\(&quot;$&quot;#,##0.0\)"/>
    <numFmt numFmtId="175" formatCode="&quot;$&quot;#,##0.000_);[Red]\(&quot;$&quot;#,##0.000\)"/>
    <numFmt numFmtId="176" formatCode="&quot;$&quot;#,##0.0000"/>
    <numFmt numFmtId="177" formatCode="0.0"/>
    <numFmt numFmtId="178" formatCode="0.000"/>
    <numFmt numFmtId="179" formatCode="0.0000"/>
    <numFmt numFmtId="180" formatCode="0.0%"/>
    <numFmt numFmtId="181" formatCode="_(* #,##0.0_);_(* \(#,##0.0\);_(* &quot;-&quot;??_);_(@_)"/>
    <numFmt numFmtId="182" formatCode="_(* #,##0_);_(* \(#,##0\);_(* &quot;-&quot;??_);_(@_)"/>
    <numFmt numFmtId="183" formatCode="0.00000"/>
    <numFmt numFmtId="184" formatCode="0.000000"/>
    <numFmt numFmtId="185" formatCode="_(* #,##0.000_);_(* \(#,##0.000\);_(* &quot;-&quot;??_);_(@_)"/>
    <numFmt numFmtId="186" formatCode="_(* #,##0.0000_);_(* \(#,##0.0000\);_(* &quot;-&quot;??_);_(@_)"/>
    <numFmt numFmtId="187" formatCode="&quot;$&quot;#,##0.0000_);[Red]\(&quot;$&quot;#,##0.0000\)"/>
    <numFmt numFmtId="188" formatCode="[$-409]dddd\,\ mmmm\ dd\,\ yyyy"/>
    <numFmt numFmtId="189" formatCode="[$-409]d\-mmm\-yy;@"/>
    <numFmt numFmtId="190" formatCode="mmm\-yyyy"/>
    <numFmt numFmtId="191" formatCode="_(* #,##0.00000_);_(* \(#,##0.00000\);_(* &quot;-&quot;??_);_(@_)"/>
    <numFmt numFmtId="192" formatCode="_(&quot;$&quot;* #,##0.0_);_(&quot;$&quot;* \(#,##0.0\);_(&quot;$&quot;* &quot;-&quot;??_);_(@_)"/>
    <numFmt numFmtId="193" formatCode="_(&quot;$&quot;* #,##0_);_(&quot;$&quot;* \(#,##0\);_(&quot;$&quot;* &quot;-&quot;??_);_(@_)"/>
    <numFmt numFmtId="194" formatCode="&quot;$&quot;#,##0.0"/>
    <numFmt numFmtId="195" formatCode="&quot;$&quot;#,##0"/>
    <numFmt numFmtId="196" formatCode="#,##0.0_);[Red]\(#,##0.0\)"/>
    <numFmt numFmtId="197" formatCode="m/d/yy;@"/>
    <numFmt numFmtId="198" formatCode="m/d/yyyy;@"/>
    <numFmt numFmtId="199" formatCode="0.000%"/>
    <numFmt numFmtId="200" formatCode="_(* #,##0.0_);_(* \(#,##0.0\);_(* &quot;-&quot;?_);_(@_)"/>
    <numFmt numFmtId="201" formatCode="_(* #,##0.000000000000000_);_(* \(#,##0.000000000000000\);_(* &quot;-&quot;???????????????_);_(@_)"/>
    <numFmt numFmtId="202" formatCode="0.000000000"/>
    <numFmt numFmtId="203" formatCode="0.0000000000"/>
    <numFmt numFmtId="204" formatCode="0.00000000"/>
    <numFmt numFmtId="205" formatCode="0.0000000"/>
    <numFmt numFmtId="206" formatCode="0.00000000000"/>
    <numFmt numFmtId="207" formatCode="&quot;$&quot;#,##0.000"/>
    <numFmt numFmtId="208" formatCode="0.0000%"/>
    <numFmt numFmtId="209" formatCode="_(* #,##0.0000_);_(* \(#,##0.0000\);_(* &quot;-&quot;????_);_(@_)"/>
    <numFmt numFmtId="210" formatCode="#,##0.0"/>
    <numFmt numFmtId="211" formatCode="#,##0.000"/>
    <numFmt numFmtId="212" formatCode="#,##0.0000"/>
    <numFmt numFmtId="213" formatCode="_(&quot;$&quot;* #,##0.000_);_(&quot;$&quot;* \(#,##0.000\);_(&quot;$&quot;* &quot;-&quot;??_);_(@_)"/>
    <numFmt numFmtId="214" formatCode="_(&quot;$&quot;* #,##0.0000_);_(&quot;$&quot;* \(#,##0.0000\);_(&quot;$&quot;* &quot;-&quot;??_);_(@_)"/>
    <numFmt numFmtId="215" formatCode="#,##0.00000"/>
    <numFmt numFmtId="216" formatCode="_(&quot;$&quot;* #,##0.0000_);_(&quot;$&quot;* \(#,##0.0000\);_(&quot;$&quot;* &quot;-&quot;????_);_(@_)"/>
    <numFmt numFmtId="217" formatCode="0_);\(0\)"/>
    <numFmt numFmtId="218" formatCode="[$€-2]\ #,##0.00_);[Red]\([$€-2]\ #,##0.00\)"/>
    <numFmt numFmtId="219" formatCode="0.00000%"/>
    <numFmt numFmtId="220" formatCode="0.000000%"/>
    <numFmt numFmtId="221" formatCode="0.0000000%"/>
    <numFmt numFmtId="222" formatCode="0.00000000%"/>
    <numFmt numFmtId="223" formatCode="0.000000000%"/>
    <numFmt numFmtId="224" formatCode="General"/>
  </numFmts>
  <fonts count="35">
    <font>
      <sz val="10"/>
      <name val="Arial"/>
      <family val="0"/>
    </font>
    <font>
      <b/>
      <sz val="10"/>
      <name val="Arial"/>
      <family val="2"/>
    </font>
    <font>
      <b/>
      <u val="single"/>
      <sz val="11"/>
      <name val="Arial"/>
      <family val="2"/>
    </font>
    <font>
      <b/>
      <sz val="10"/>
      <color indexed="39"/>
      <name val="Arial"/>
      <family val="2"/>
    </font>
    <font>
      <b/>
      <sz val="10"/>
      <color indexed="8"/>
      <name val="Arial"/>
      <family val="2"/>
    </font>
    <font>
      <b/>
      <sz val="10"/>
      <color indexed="12"/>
      <name val="Arial"/>
      <family val="2"/>
    </font>
    <font>
      <b/>
      <u val="single"/>
      <sz val="10"/>
      <name val="Arial"/>
      <family val="2"/>
    </font>
    <font>
      <b/>
      <sz val="11"/>
      <name val="Arial"/>
      <family val="2"/>
    </font>
    <font>
      <sz val="10"/>
      <name val="Courier New"/>
      <family val="3"/>
    </font>
    <font>
      <b/>
      <u val="single"/>
      <sz val="12"/>
      <name val="Arial"/>
      <family val="2"/>
    </font>
    <font>
      <u val="single"/>
      <sz val="10"/>
      <name val="Courier New"/>
      <family val="3"/>
    </font>
    <font>
      <sz val="11"/>
      <name val="Arial"/>
      <family val="2"/>
    </font>
    <font>
      <sz val="12"/>
      <name val="Courier New"/>
      <family val="3"/>
    </font>
    <font>
      <b/>
      <sz val="12"/>
      <name val="Arial"/>
      <family val="2"/>
    </font>
    <font>
      <sz val="8"/>
      <name val="Arial"/>
      <family val="0"/>
    </font>
    <font>
      <u val="single"/>
      <sz val="10"/>
      <color indexed="12"/>
      <name val="Arial"/>
      <family val="0"/>
    </font>
    <font>
      <u val="single"/>
      <sz val="10"/>
      <color indexed="36"/>
      <name val="Arial"/>
      <family val="0"/>
    </font>
    <font>
      <b/>
      <sz val="11"/>
      <color indexed="12"/>
      <name val="Arial"/>
      <family val="2"/>
    </font>
    <font>
      <b/>
      <i/>
      <sz val="10"/>
      <name val="Arial"/>
      <family val="2"/>
    </font>
    <font>
      <sz val="12"/>
      <name val="Arial"/>
      <family val="2"/>
    </font>
    <font>
      <b/>
      <sz val="14"/>
      <name val="Arial"/>
      <family val="2"/>
    </font>
    <font>
      <b/>
      <u val="single"/>
      <sz val="14"/>
      <name val="Arial"/>
      <family val="2"/>
    </font>
    <font>
      <u val="single"/>
      <sz val="14"/>
      <name val="Arial"/>
      <family val="2"/>
    </font>
    <font>
      <sz val="14"/>
      <name val="Arial"/>
      <family val="2"/>
    </font>
    <font>
      <sz val="9"/>
      <name val="Tahoma"/>
      <family val="0"/>
    </font>
    <font>
      <b/>
      <sz val="9"/>
      <name val="Tahoma"/>
      <family val="0"/>
    </font>
    <font>
      <i/>
      <sz val="9"/>
      <name val="Tahoma"/>
      <family val="2"/>
    </font>
    <font>
      <b/>
      <i/>
      <sz val="9"/>
      <name val="Tahoma"/>
      <family val="2"/>
    </font>
    <font>
      <u val="single"/>
      <sz val="10"/>
      <name val="Arial"/>
      <family val="2"/>
    </font>
    <font>
      <i/>
      <sz val="10"/>
      <name val="Arial"/>
      <family val="2"/>
    </font>
    <font>
      <b/>
      <u val="singleAccounting"/>
      <sz val="10"/>
      <name val="Arial"/>
      <family val="2"/>
    </font>
    <font>
      <u val="singleAccounting"/>
      <sz val="10"/>
      <name val="Arial"/>
      <family val="2"/>
    </font>
    <font>
      <b/>
      <sz val="24"/>
      <name val="Arial"/>
      <family val="2"/>
    </font>
    <font>
      <b/>
      <sz val="12"/>
      <name val="Courier New"/>
      <family val="3"/>
    </font>
    <font>
      <b/>
      <sz val="8"/>
      <name val="Arial"/>
      <family val="2"/>
    </font>
  </fonts>
  <fills count="3">
    <fill>
      <patternFill/>
    </fill>
    <fill>
      <patternFill patternType="gray125"/>
    </fill>
    <fill>
      <patternFill patternType="solid">
        <fgColor indexed="42"/>
        <bgColor indexed="64"/>
      </patternFill>
    </fill>
  </fills>
  <borders count="3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ck"/>
      <right style="thick"/>
      <top style="thick"/>
      <bottom style="thick"/>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8" fontId="1" fillId="0" borderId="0" xfId="0" applyNumberFormat="1" applyFont="1" applyAlignment="1" applyProtection="1">
      <alignment/>
      <protection/>
    </xf>
    <xf numFmtId="3" fontId="4" fillId="0" borderId="0" xfId="0" applyNumberFormat="1" applyFont="1" applyAlignment="1" applyProtection="1">
      <alignment/>
      <protection/>
    </xf>
    <xf numFmtId="8" fontId="0" fillId="0" borderId="0" xfId="0" applyNumberFormat="1" applyAlignment="1" applyProtection="1">
      <alignment/>
      <protection/>
    </xf>
    <xf numFmtId="3" fontId="1" fillId="0" borderId="0" xfId="0" applyNumberFormat="1" applyFont="1" applyAlignment="1" applyProtection="1">
      <alignment/>
      <protection/>
    </xf>
    <xf numFmtId="170" fontId="1" fillId="0" borderId="0" xfId="0" applyNumberFormat="1" applyFont="1" applyAlignment="1" applyProtection="1">
      <alignment/>
      <protection/>
    </xf>
    <xf numFmtId="170" fontId="1" fillId="0" borderId="0" xfId="0" applyNumberFormat="1" applyFont="1" applyAlignment="1" applyProtection="1" quotePrefix="1">
      <alignment/>
      <protection/>
    </xf>
    <xf numFmtId="0" fontId="6" fillId="0" borderId="0" xfId="0" applyFont="1" applyAlignment="1" applyProtection="1">
      <alignment/>
      <protection/>
    </xf>
    <xf numFmtId="8" fontId="1" fillId="0" borderId="0" xfId="0" applyNumberFormat="1" applyFont="1" applyAlignment="1" applyProtection="1">
      <alignment horizontal="right"/>
      <protection/>
    </xf>
    <xf numFmtId="8" fontId="4" fillId="0" borderId="0" xfId="0" applyNumberFormat="1" applyFont="1" applyAlignment="1" applyProtection="1">
      <alignment horizontal="right"/>
      <protection/>
    </xf>
    <xf numFmtId="170" fontId="7" fillId="0" borderId="0" xfId="0" applyNumberFormat="1" applyFont="1" applyAlignment="1" applyProtection="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justify"/>
    </xf>
    <xf numFmtId="0" fontId="7" fillId="0" borderId="0" xfId="0" applyFont="1" applyAlignment="1">
      <alignment/>
    </xf>
    <xf numFmtId="0" fontId="9" fillId="0" borderId="1" xfId="0" applyFont="1" applyBorder="1" applyAlignment="1">
      <alignment/>
    </xf>
    <xf numFmtId="0" fontId="0" fillId="0" borderId="1" xfId="0" applyBorder="1" applyAlignment="1">
      <alignment/>
    </xf>
    <xf numFmtId="0" fontId="10" fillId="0" borderId="1" xfId="0" applyFont="1" applyBorder="1" applyAlignment="1">
      <alignment horizontal="left" indent="2"/>
    </xf>
    <xf numFmtId="0" fontId="13" fillId="0" borderId="1" xfId="0" applyFont="1" applyBorder="1" applyAlignment="1">
      <alignment horizontal="justify"/>
    </xf>
    <xf numFmtId="0" fontId="13" fillId="0" borderId="1" xfId="0" applyFont="1" applyBorder="1" applyAlignment="1">
      <alignment/>
    </xf>
    <xf numFmtId="0" fontId="1" fillId="0" borderId="1" xfId="0" applyFont="1" applyBorder="1" applyAlignment="1" applyProtection="1">
      <alignment/>
      <protection/>
    </xf>
    <xf numFmtId="0" fontId="0" fillId="0" borderId="0" xfId="0" applyFont="1" applyAlignment="1">
      <alignment/>
    </xf>
    <xf numFmtId="6" fontId="0" fillId="0" borderId="0" xfId="0" applyNumberFormat="1" applyAlignment="1">
      <alignment/>
    </xf>
    <xf numFmtId="38" fontId="0" fillId="0" borderId="0" xfId="0" applyNumberFormat="1" applyAlignment="1">
      <alignment/>
    </xf>
    <xf numFmtId="0" fontId="1" fillId="0" borderId="1" xfId="0" applyFont="1" applyBorder="1" applyAlignment="1">
      <alignment vertical="top" wrapText="1"/>
    </xf>
    <xf numFmtId="6" fontId="1" fillId="0" borderId="1" xfId="0" applyNumberFormat="1" applyFont="1" applyBorder="1" applyAlignment="1">
      <alignment vertical="top" wrapText="1"/>
    </xf>
    <xf numFmtId="0" fontId="13" fillId="0" borderId="1" xfId="0" applyFont="1" applyBorder="1" applyAlignment="1">
      <alignment vertical="top" wrapText="1"/>
    </xf>
    <xf numFmtId="6" fontId="3" fillId="0" borderId="1" xfId="0" applyNumberFormat="1" applyFont="1" applyBorder="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left"/>
      <protection/>
    </xf>
    <xf numFmtId="0" fontId="0" fillId="0" borderId="0" xfId="0" applyAlignment="1">
      <alignment horizontal="left"/>
    </xf>
    <xf numFmtId="181" fontId="1" fillId="0" borderId="0" xfId="15" applyNumberFormat="1" applyFont="1" applyAlignment="1" applyProtection="1">
      <alignment/>
      <protection/>
    </xf>
    <xf numFmtId="181" fontId="0" fillId="0" borderId="0" xfId="15" applyNumberFormat="1" applyFont="1" applyAlignment="1">
      <alignment/>
    </xf>
    <xf numFmtId="193" fontId="1" fillId="0" borderId="0" xfId="17" applyNumberFormat="1" applyFont="1" applyAlignment="1" applyProtection="1">
      <alignment/>
      <protection/>
    </xf>
    <xf numFmtId="0" fontId="1" fillId="0" borderId="0" xfId="0" applyFont="1" applyAlignment="1" applyProtection="1">
      <alignment wrapText="1"/>
      <protection/>
    </xf>
    <xf numFmtId="0" fontId="1" fillId="0" borderId="0" xfId="0" applyFont="1" applyAlignment="1">
      <alignment wrapText="1"/>
    </xf>
    <xf numFmtId="170" fontId="2" fillId="0" borderId="0" xfId="0" applyNumberFormat="1" applyFont="1" applyAlignment="1" applyProtection="1">
      <alignment wrapText="1"/>
      <protection/>
    </xf>
    <xf numFmtId="0" fontId="0" fillId="0" borderId="0" xfId="0" applyAlignment="1">
      <alignment wrapText="1"/>
    </xf>
    <xf numFmtId="0" fontId="7" fillId="0" borderId="0" xfId="0" applyFont="1" applyAlignment="1">
      <alignment wrapText="1"/>
    </xf>
    <xf numFmtId="8" fontId="7" fillId="0" borderId="0" xfId="0" applyNumberFormat="1" applyFont="1" applyAlignment="1">
      <alignment/>
    </xf>
    <xf numFmtId="0" fontId="11" fillId="0" borderId="0" xfId="0" applyFont="1" applyAlignment="1">
      <alignment/>
    </xf>
    <xf numFmtId="38" fontId="7" fillId="0" borderId="0" xfId="0" applyNumberFormat="1" applyFont="1" applyAlignment="1" applyProtection="1">
      <alignment/>
      <protection/>
    </xf>
    <xf numFmtId="182" fontId="1" fillId="0" borderId="0" xfId="15" applyNumberFormat="1" applyFont="1" applyAlignment="1" applyProtection="1">
      <alignment/>
      <protection/>
    </xf>
    <xf numFmtId="6" fontId="1" fillId="0" borderId="1" xfId="0" applyNumberFormat="1" applyFont="1" applyBorder="1" applyAlignment="1" applyProtection="1">
      <alignment/>
      <protection locked="0"/>
    </xf>
    <xf numFmtId="0" fontId="1" fillId="0" borderId="1" xfId="0" applyFont="1" applyBorder="1" applyAlignment="1">
      <alignment wrapText="1"/>
    </xf>
    <xf numFmtId="1" fontId="0" fillId="0" borderId="0" xfId="0" applyNumberFormat="1" applyAlignment="1">
      <alignment wrapText="1"/>
    </xf>
    <xf numFmtId="38" fontId="1" fillId="0" borderId="0" xfId="0" applyNumberFormat="1" applyFont="1" applyAlignment="1" applyProtection="1">
      <alignment wrapText="1"/>
      <protection/>
    </xf>
    <xf numFmtId="3" fontId="0" fillId="0" borderId="0" xfId="0" applyNumberFormat="1" applyAlignment="1" applyProtection="1">
      <alignment/>
      <protection/>
    </xf>
    <xf numFmtId="170"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wrapText="1"/>
      <protection/>
    </xf>
    <xf numFmtId="8" fontId="7" fillId="0" borderId="0" xfId="0" applyNumberFormat="1" applyFont="1" applyAlignment="1" applyProtection="1">
      <alignment/>
      <protection/>
    </xf>
    <xf numFmtId="8" fontId="1" fillId="0" borderId="1" xfId="0" applyNumberFormat="1" applyFont="1" applyBorder="1" applyAlignment="1">
      <alignment/>
    </xf>
    <xf numFmtId="0" fontId="0" fillId="0" borderId="3" xfId="0" applyBorder="1" applyAlignment="1">
      <alignment/>
    </xf>
    <xf numFmtId="0" fontId="0" fillId="0" borderId="0" xfId="0" applyBorder="1" applyAlignment="1">
      <alignment/>
    </xf>
    <xf numFmtId="0" fontId="0" fillId="0" borderId="4" xfId="0" applyFont="1" applyBorder="1" applyAlignment="1">
      <alignment/>
    </xf>
    <xf numFmtId="0" fontId="0" fillId="0" borderId="3" xfId="0" applyFont="1" applyBorder="1" applyAlignment="1">
      <alignment/>
    </xf>
    <xf numFmtId="179" fontId="1" fillId="0" borderId="0" xfId="0" applyNumberFormat="1" applyFont="1" applyAlignment="1">
      <alignment/>
    </xf>
    <xf numFmtId="179" fontId="1" fillId="0" borderId="0" xfId="0" applyNumberFormat="1" applyFont="1" applyAlignment="1" applyProtection="1">
      <alignment/>
      <protection/>
    </xf>
    <xf numFmtId="179" fontId="0" fillId="0" borderId="0" xfId="0" applyNumberFormat="1" applyAlignment="1">
      <alignment/>
    </xf>
    <xf numFmtId="0" fontId="1" fillId="0" borderId="0" xfId="0" applyFont="1" applyAlignment="1" applyProtection="1">
      <alignment horizontal="left"/>
      <protection/>
    </xf>
    <xf numFmtId="0" fontId="1" fillId="0" borderId="0" xfId="0" applyFont="1" applyAlignment="1" applyProtection="1">
      <alignment horizontal="left" wrapText="1"/>
      <protection/>
    </xf>
    <xf numFmtId="0" fontId="6" fillId="0" borderId="0" xfId="0" applyFont="1" applyAlignment="1" applyProtection="1">
      <alignment horizontal="left"/>
      <protection/>
    </xf>
    <xf numFmtId="179" fontId="1" fillId="0" borderId="0" xfId="0" applyNumberFormat="1" applyFont="1" applyAlignment="1" applyProtection="1">
      <alignment horizontal="left"/>
      <protection/>
    </xf>
    <xf numFmtId="0" fontId="1" fillId="0" borderId="1" xfId="0" applyFont="1" applyBorder="1" applyAlignment="1" applyProtection="1">
      <alignment horizontal="left"/>
      <protection/>
    </xf>
    <xf numFmtId="170" fontId="7" fillId="0" borderId="0" xfId="0" applyNumberFormat="1" applyFont="1" applyAlignment="1" applyProtection="1">
      <alignment horizontal="left"/>
      <protection/>
    </xf>
    <xf numFmtId="170" fontId="2" fillId="0" borderId="0" xfId="0" applyNumberFormat="1" applyFont="1" applyAlignment="1" applyProtection="1">
      <alignment horizontal="left" wrapText="1"/>
      <protection/>
    </xf>
    <xf numFmtId="170" fontId="7" fillId="0" borderId="0" xfId="0" applyNumberFormat="1" applyFont="1" applyAlignment="1" applyProtection="1">
      <alignment horizontal="left" wrapText="1"/>
      <protection/>
    </xf>
    <xf numFmtId="0" fontId="7" fillId="0" borderId="0" xfId="0" applyFont="1" applyAlignment="1" applyProtection="1">
      <alignment horizontal="left"/>
      <protection/>
    </xf>
    <xf numFmtId="10" fontId="5" fillId="0" borderId="0" xfId="21" applyNumberFormat="1" applyFont="1" applyAlignment="1" applyProtection="1">
      <alignment/>
      <protection/>
    </xf>
    <xf numFmtId="8" fontId="5" fillId="0" borderId="0" xfId="0" applyNumberFormat="1" applyFont="1" applyAlignment="1" applyProtection="1">
      <alignment/>
      <protection/>
    </xf>
    <xf numFmtId="9" fontId="7" fillId="0" borderId="0" xfId="21" applyFont="1" applyAlignment="1" applyProtection="1">
      <alignment horizontal="right" vertical="center"/>
      <protection/>
    </xf>
    <xf numFmtId="179" fontId="7" fillId="0" borderId="0" xfId="0" applyNumberFormat="1" applyFont="1" applyAlignment="1" applyProtection="1">
      <alignment/>
      <protection/>
    </xf>
    <xf numFmtId="6" fontId="7" fillId="0" borderId="0" xfId="0" applyNumberFormat="1" applyFont="1" applyAlignment="1" applyProtection="1">
      <alignment/>
      <protection/>
    </xf>
    <xf numFmtId="0" fontId="0" fillId="0" borderId="5" xfId="0" applyNumberFormat="1" applyFont="1" applyFill="1" applyBorder="1" applyAlignment="1" applyProtection="1">
      <alignment wrapText="1"/>
      <protection/>
    </xf>
    <xf numFmtId="0" fontId="0" fillId="0" borderId="0" xfId="0" applyFont="1" applyAlignment="1">
      <alignment wrapText="1"/>
    </xf>
    <xf numFmtId="176" fontId="0" fillId="0" borderId="6" xfId="0" applyNumberFormat="1" applyFont="1" applyFill="1" applyBorder="1" applyAlignment="1" applyProtection="1">
      <alignment/>
      <protection/>
    </xf>
    <xf numFmtId="170" fontId="0" fillId="0" borderId="0" xfId="0" applyNumberFormat="1"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8" fontId="4" fillId="0" borderId="1" xfId="0" applyNumberFormat="1" applyFont="1" applyBorder="1" applyAlignment="1" applyProtection="1">
      <alignment/>
      <protection/>
    </xf>
    <xf numFmtId="6" fontId="1" fillId="0" borderId="0" xfId="0" applyNumberFormat="1" applyFont="1" applyAlignment="1" applyProtection="1">
      <alignment/>
      <protection/>
    </xf>
    <xf numFmtId="182" fontId="18" fillId="0" borderId="0" xfId="15" applyNumberFormat="1" applyFont="1" applyAlignment="1" applyProtection="1">
      <alignment/>
      <protection/>
    </xf>
    <xf numFmtId="179" fontId="1" fillId="0" borderId="1" xfId="0" applyNumberFormat="1" applyFont="1" applyBorder="1" applyAlignment="1">
      <alignment/>
    </xf>
    <xf numFmtId="0" fontId="1" fillId="0" borderId="7" xfId="0" applyNumberFormat="1" applyFont="1" applyFill="1" applyBorder="1" applyAlignment="1" applyProtection="1">
      <alignment wrapText="1"/>
      <protection/>
    </xf>
    <xf numFmtId="0" fontId="1" fillId="0" borderId="8" xfId="0" applyNumberFormat="1" applyFont="1" applyFill="1" applyBorder="1" applyAlignment="1" applyProtection="1">
      <alignment wrapText="1"/>
      <protection/>
    </xf>
    <xf numFmtId="0" fontId="1" fillId="0" borderId="9" xfId="0" applyNumberFormat="1" applyFont="1" applyFill="1" applyBorder="1" applyAlignment="1" applyProtection="1">
      <alignment wrapText="1"/>
      <protection/>
    </xf>
    <xf numFmtId="0" fontId="1" fillId="0" borderId="6" xfId="0" applyNumberFormat="1" applyFont="1" applyFill="1" applyBorder="1" applyAlignment="1" applyProtection="1">
      <alignment wrapText="1"/>
      <protection/>
    </xf>
    <xf numFmtId="0" fontId="1" fillId="0" borderId="6" xfId="0" applyNumberFormat="1" applyFont="1" applyFill="1" applyBorder="1" applyAlignment="1" applyProtection="1">
      <alignment/>
      <protection/>
    </xf>
    <xf numFmtId="3" fontId="1" fillId="0" borderId="6" xfId="0" applyNumberFormat="1" applyFont="1" applyFill="1" applyBorder="1" applyAlignment="1" applyProtection="1">
      <alignment/>
      <protection/>
    </xf>
    <xf numFmtId="184" fontId="1" fillId="0" borderId="1" xfId="0" applyNumberFormat="1" applyFont="1" applyFill="1" applyBorder="1" applyAlignment="1" applyProtection="1">
      <alignment/>
      <protection/>
    </xf>
    <xf numFmtId="0" fontId="1" fillId="0" borderId="10" xfId="0" applyFont="1" applyBorder="1" applyAlignment="1">
      <alignment wrapText="1"/>
    </xf>
    <xf numFmtId="0" fontId="1" fillId="0" borderId="11" xfId="0" applyFont="1" applyBorder="1" applyAlignment="1">
      <alignment/>
    </xf>
    <xf numFmtId="0" fontId="1" fillId="0" borderId="1" xfId="0" applyNumberFormat="1" applyFont="1" applyFill="1" applyBorder="1" applyAlignment="1" applyProtection="1">
      <alignment wrapText="1"/>
      <protection/>
    </xf>
    <xf numFmtId="3" fontId="1" fillId="0" borderId="1" xfId="0" applyNumberFormat="1" applyFont="1" applyFill="1" applyBorder="1" applyAlignment="1" applyProtection="1">
      <alignment/>
      <protection/>
    </xf>
    <xf numFmtId="3" fontId="1" fillId="0" borderId="1" xfId="0" applyNumberFormat="1" applyFont="1" applyBorder="1" applyAlignment="1">
      <alignment/>
    </xf>
    <xf numFmtId="0" fontId="1" fillId="0" borderId="12" xfId="0" applyFont="1" applyBorder="1" applyAlignment="1">
      <alignment wrapText="1"/>
    </xf>
    <xf numFmtId="6" fontId="1" fillId="0" borderId="0" xfId="0" applyNumberFormat="1" applyFont="1" applyAlignment="1" applyProtection="1">
      <alignment horizontal="right"/>
      <protection/>
    </xf>
    <xf numFmtId="6" fontId="4" fillId="0" borderId="0" xfId="0" applyNumberFormat="1" applyFont="1" applyAlignment="1" applyProtection="1">
      <alignment horizontal="right"/>
      <protection/>
    </xf>
    <xf numFmtId="2" fontId="7" fillId="0" borderId="0" xfId="0" applyNumberFormat="1" applyFont="1" applyAlignment="1" applyProtection="1">
      <alignment/>
      <protection/>
    </xf>
    <xf numFmtId="0" fontId="9" fillId="0" borderId="0" xfId="0" applyFont="1" applyAlignment="1" applyProtection="1">
      <alignment horizontal="left"/>
      <protection/>
    </xf>
    <xf numFmtId="10" fontId="1" fillId="0" borderId="0" xfId="21" applyNumberFormat="1" applyFont="1" applyAlignment="1" applyProtection="1">
      <alignment/>
      <protection/>
    </xf>
    <xf numFmtId="4" fontId="0" fillId="0" borderId="0" xfId="0" applyNumberFormat="1" applyAlignment="1">
      <alignment horizontal="left"/>
    </xf>
    <xf numFmtId="10" fontId="0" fillId="0" borderId="0" xfId="0" applyNumberFormat="1" applyAlignment="1">
      <alignment/>
    </xf>
    <xf numFmtId="193" fontId="1" fillId="0" borderId="0" xfId="0" applyNumberFormat="1" applyFont="1" applyAlignment="1" applyProtection="1">
      <alignment/>
      <protection/>
    </xf>
    <xf numFmtId="9" fontId="17" fillId="0" borderId="0" xfId="0" applyNumberFormat="1" applyFont="1" applyBorder="1" applyAlignment="1">
      <alignment horizontal="center" wrapText="1"/>
    </xf>
    <xf numFmtId="8" fontId="7" fillId="0" borderId="13" xfId="0" applyNumberFormat="1" applyFont="1" applyBorder="1" applyAlignment="1">
      <alignment/>
    </xf>
    <xf numFmtId="8" fontId="7" fillId="0" borderId="14" xfId="0" applyNumberFormat="1" applyFont="1" applyBorder="1" applyAlignment="1">
      <alignment/>
    </xf>
    <xf numFmtId="8" fontId="7" fillId="0" borderId="15" xfId="0" applyNumberFormat="1" applyFont="1" applyBorder="1" applyAlignment="1">
      <alignment/>
    </xf>
    <xf numFmtId="8" fontId="7" fillId="0" borderId="16" xfId="0" applyNumberFormat="1" applyFont="1" applyBorder="1" applyAlignment="1">
      <alignment/>
    </xf>
    <xf numFmtId="8" fontId="7" fillId="0" borderId="0" xfId="0" applyNumberFormat="1" applyFont="1" applyBorder="1" applyAlignment="1">
      <alignment/>
    </xf>
    <xf numFmtId="8" fontId="7" fillId="0" borderId="17" xfId="0" applyNumberFormat="1" applyFont="1" applyBorder="1" applyAlignment="1">
      <alignment/>
    </xf>
    <xf numFmtId="8" fontId="7" fillId="0" borderId="4" xfId="0" applyNumberFormat="1" applyFont="1" applyBorder="1" applyAlignment="1">
      <alignment/>
    </xf>
    <xf numFmtId="8" fontId="7" fillId="0" borderId="3" xfId="0" applyNumberFormat="1" applyFont="1" applyBorder="1" applyAlignment="1">
      <alignment/>
    </xf>
    <xf numFmtId="8" fontId="7" fillId="0" borderId="18" xfId="0" applyNumberFormat="1" applyFont="1" applyBorder="1" applyAlignment="1">
      <alignment/>
    </xf>
    <xf numFmtId="0" fontId="7" fillId="0" borderId="0" xfId="0" applyFont="1" applyAlignment="1">
      <alignment horizontal="center" wrapText="1"/>
    </xf>
    <xf numFmtId="0" fontId="2" fillId="0" borderId="0" xfId="0" applyFont="1" applyAlignment="1">
      <alignment wrapText="1"/>
    </xf>
    <xf numFmtId="180" fontId="7" fillId="0" borderId="0" xfId="21" applyNumberFormat="1" applyFont="1" applyAlignment="1" applyProtection="1">
      <alignment horizontal="right" vertical="center"/>
      <protection/>
    </xf>
    <xf numFmtId="214" fontId="13" fillId="0" borderId="0" xfId="17" applyNumberFormat="1" applyFont="1" applyAlignment="1">
      <alignment/>
    </xf>
    <xf numFmtId="182" fontId="1" fillId="0" borderId="0" xfId="0" applyNumberFormat="1" applyFont="1" applyAlignment="1" applyProtection="1">
      <alignment horizontal="left"/>
      <protection/>
    </xf>
    <xf numFmtId="182" fontId="0" fillId="0" borderId="0" xfId="15" applyNumberFormat="1" applyFont="1" applyAlignment="1">
      <alignment/>
    </xf>
    <xf numFmtId="0" fontId="4" fillId="0" borderId="7" xfId="0" applyNumberFormat="1" applyFont="1" applyFill="1" applyBorder="1" applyAlignment="1" applyProtection="1">
      <alignment wrapText="1"/>
      <protection/>
    </xf>
    <xf numFmtId="0" fontId="4" fillId="0" borderId="6" xfId="0" applyNumberFormat="1" applyFont="1" applyFill="1" applyBorder="1" applyAlignment="1" applyProtection="1">
      <alignment/>
      <protection locked="0"/>
    </xf>
    <xf numFmtId="0" fontId="1" fillId="0" borderId="19" xfId="0" applyFont="1" applyBorder="1" applyAlignment="1">
      <alignment vertical="top" wrapText="1"/>
    </xf>
    <xf numFmtId="176" fontId="0" fillId="0" borderId="0" xfId="0" applyNumberFormat="1" applyFont="1" applyAlignment="1">
      <alignment/>
    </xf>
    <xf numFmtId="0" fontId="1" fillId="0" borderId="0" xfId="0" applyFont="1" applyFill="1" applyBorder="1" applyAlignment="1">
      <alignment vertical="top" wrapText="1"/>
    </xf>
    <xf numFmtId="0" fontId="0" fillId="0" borderId="0" xfId="0" applyFont="1" applyBorder="1" applyAlignment="1">
      <alignment/>
    </xf>
    <xf numFmtId="0" fontId="1" fillId="0" borderId="1" xfId="0" applyFont="1" applyBorder="1" applyAlignment="1">
      <alignment/>
    </xf>
    <xf numFmtId="0" fontId="0" fillId="0" borderId="0" xfId="0" applyFill="1" applyBorder="1" applyAlignment="1">
      <alignment/>
    </xf>
    <xf numFmtId="0" fontId="19" fillId="0" borderId="0" xfId="0" applyFont="1" applyAlignment="1">
      <alignment wrapText="1"/>
    </xf>
    <xf numFmtId="210" fontId="7" fillId="2" borderId="1" xfId="0" applyNumberFormat="1" applyFont="1" applyFill="1" applyBorder="1" applyAlignment="1" applyProtection="1">
      <alignment/>
      <protection locked="0"/>
    </xf>
    <xf numFmtId="0" fontId="19" fillId="0" borderId="0" xfId="0" applyFont="1" applyAlignment="1">
      <alignment/>
    </xf>
    <xf numFmtId="170" fontId="19" fillId="0" borderId="0" xfId="0" applyNumberFormat="1" applyFont="1" applyAlignment="1">
      <alignment/>
    </xf>
    <xf numFmtId="214" fontId="1" fillId="0" borderId="7" xfId="17" applyNumberFormat="1" applyFont="1" applyBorder="1" applyAlignment="1">
      <alignment wrapText="1"/>
    </xf>
    <xf numFmtId="1" fontId="3" fillId="0" borderId="0" xfId="0" applyNumberFormat="1" applyFont="1" applyAlignment="1" applyProtection="1">
      <alignment/>
      <protection locked="0"/>
    </xf>
    <xf numFmtId="214" fontId="1" fillId="0" borderId="20" xfId="17" applyNumberFormat="1" applyFont="1" applyBorder="1" applyAlignment="1">
      <alignment wrapText="1"/>
    </xf>
    <xf numFmtId="214" fontId="1" fillId="0" borderId="6" xfId="17" applyNumberFormat="1" applyFont="1" applyBorder="1" applyAlignment="1">
      <alignment wrapText="1"/>
    </xf>
    <xf numFmtId="214" fontId="1" fillId="0" borderId="1" xfId="17" applyNumberFormat="1" applyFont="1" applyBorder="1" applyAlignment="1">
      <alignment wrapText="1"/>
    </xf>
    <xf numFmtId="214" fontId="1" fillId="0" borderId="0" xfId="17" applyNumberFormat="1" applyFont="1" applyAlignment="1">
      <alignment wrapText="1"/>
    </xf>
    <xf numFmtId="214" fontId="1" fillId="0" borderId="0" xfId="17" applyNumberFormat="1" applyFont="1" applyAlignment="1">
      <alignment/>
    </xf>
    <xf numFmtId="3" fontId="7" fillId="2" borderId="1" xfId="0" applyNumberFormat="1" applyFont="1" applyFill="1" applyBorder="1" applyAlignment="1" applyProtection="1">
      <alignment/>
      <protection locked="0"/>
    </xf>
    <xf numFmtId="193" fontId="7" fillId="2" borderId="1" xfId="17" applyNumberFormat="1" applyFont="1" applyFill="1" applyBorder="1" applyAlignment="1" applyProtection="1">
      <alignment/>
      <protection locked="0"/>
    </xf>
    <xf numFmtId="44" fontId="7" fillId="2" borderId="1" xfId="17" applyNumberFormat="1" applyFont="1" applyFill="1" applyBorder="1" applyAlignment="1" applyProtection="1">
      <alignment/>
      <protection locked="0"/>
    </xf>
    <xf numFmtId="0" fontId="1" fillId="0" borderId="0" xfId="0" applyFont="1" applyBorder="1" applyAlignment="1">
      <alignment wrapText="1"/>
    </xf>
    <xf numFmtId="0" fontId="1" fillId="0" borderId="0" xfId="0" applyFont="1" applyBorder="1" applyAlignment="1">
      <alignment/>
    </xf>
    <xf numFmtId="212" fontId="7" fillId="2" borderId="1" xfId="0" applyNumberFormat="1" applyFont="1" applyFill="1" applyBorder="1" applyAlignment="1" applyProtection="1">
      <alignment/>
      <protection locked="0"/>
    </xf>
    <xf numFmtId="3" fontId="7" fillId="2" borderId="1" xfId="0" applyNumberFormat="1" applyFont="1" applyFill="1" applyBorder="1" applyAlignment="1" applyProtection="1">
      <alignment wrapText="1"/>
      <protection locked="0"/>
    </xf>
    <xf numFmtId="4" fontId="7" fillId="2" borderId="1" xfId="0" applyNumberFormat="1" applyFont="1" applyFill="1" applyBorder="1" applyAlignment="1" applyProtection="1">
      <alignment wrapText="1"/>
      <protection locked="0"/>
    </xf>
    <xf numFmtId="212" fontId="7" fillId="2" borderId="1" xfId="0" applyNumberFormat="1" applyFont="1" applyFill="1" applyBorder="1" applyAlignment="1" applyProtection="1">
      <alignment wrapText="1"/>
      <protection locked="0"/>
    </xf>
    <xf numFmtId="3" fontId="7" fillId="2" borderId="1" xfId="0" applyNumberFormat="1" applyFont="1" applyFill="1" applyBorder="1" applyAlignment="1" applyProtection="1">
      <alignment horizontal="center" wrapText="1"/>
      <protection locked="0"/>
    </xf>
    <xf numFmtId="44" fontId="7" fillId="2" borderId="1" xfId="17" applyNumberFormat="1" applyFont="1" applyFill="1" applyBorder="1" applyAlignment="1" applyProtection="1">
      <alignment horizontal="center"/>
      <protection locked="0"/>
    </xf>
    <xf numFmtId="212" fontId="7" fillId="2" borderId="1" xfId="0" applyNumberFormat="1" applyFont="1" applyFill="1" applyBorder="1" applyAlignment="1" applyProtection="1">
      <alignment horizontal="center" wrapText="1"/>
      <protection locked="0"/>
    </xf>
    <xf numFmtId="9" fontId="7" fillId="2" borderId="1" xfId="21" applyFont="1" applyFill="1" applyBorder="1" applyAlignment="1" applyProtection="1">
      <alignment horizontal="center" wrapText="1"/>
      <protection locked="0"/>
    </xf>
    <xf numFmtId="3" fontId="7" fillId="2" borderId="1" xfId="0" applyNumberFormat="1" applyFont="1" applyFill="1" applyBorder="1" applyAlignment="1" applyProtection="1">
      <alignment horizontal="center"/>
      <protection locked="0"/>
    </xf>
    <xf numFmtId="170" fontId="7" fillId="0" borderId="0" xfId="0" applyNumberFormat="1" applyFont="1" applyBorder="1" applyAlignment="1" applyProtection="1">
      <alignment horizontal="left"/>
      <protection/>
    </xf>
    <xf numFmtId="214" fontId="1" fillId="0" borderId="0" xfId="17" applyNumberFormat="1" applyFont="1" applyBorder="1" applyAlignment="1">
      <alignment wrapText="1"/>
    </xf>
    <xf numFmtId="4" fontId="7" fillId="2" borderId="1" xfId="0" applyNumberFormat="1" applyFont="1" applyFill="1" applyBorder="1" applyAlignment="1" applyProtection="1">
      <alignment horizontal="center" wrapText="1"/>
      <protection locked="0"/>
    </xf>
    <xf numFmtId="177" fontId="1" fillId="0" borderId="1" xfId="0" applyNumberFormat="1" applyFont="1" applyBorder="1" applyAlignment="1">
      <alignment horizontal="center" wrapText="1"/>
    </xf>
    <xf numFmtId="193" fontId="1" fillId="0" borderId="1" xfId="17" applyNumberFormat="1" applyFont="1" applyBorder="1" applyAlignment="1">
      <alignment horizontal="center" wrapText="1"/>
    </xf>
    <xf numFmtId="0" fontId="20" fillId="0" borderId="0" xfId="0" applyFont="1" applyAlignment="1">
      <alignment/>
    </xf>
    <xf numFmtId="0" fontId="20" fillId="0" borderId="0" xfId="0" applyFont="1" applyAlignment="1" applyProtection="1">
      <alignment horizontal="left"/>
      <protection/>
    </xf>
    <xf numFmtId="1" fontId="0" fillId="0" borderId="0" xfId="0" applyNumberFormat="1" applyAlignment="1">
      <alignment/>
    </xf>
    <xf numFmtId="193" fontId="14" fillId="0" borderId="0" xfId="17" applyNumberFormat="1" applyFont="1" applyAlignment="1">
      <alignment/>
    </xf>
    <xf numFmtId="0" fontId="7" fillId="0" borderId="1" xfId="0" applyFont="1" applyBorder="1" applyAlignment="1" applyProtection="1">
      <alignment/>
      <protection/>
    </xf>
    <xf numFmtId="3" fontId="1" fillId="0" borderId="1" xfId="0" applyNumberFormat="1" applyFont="1" applyFill="1" applyBorder="1" applyAlignment="1" applyProtection="1">
      <alignment wrapText="1"/>
      <protection/>
    </xf>
    <xf numFmtId="0" fontId="1" fillId="0" borderId="0" xfId="0" applyFont="1" applyAlignment="1">
      <alignment horizontal="center"/>
    </xf>
    <xf numFmtId="0" fontId="1" fillId="0" borderId="1" xfId="0" applyFont="1" applyBorder="1" applyAlignment="1" applyProtection="1">
      <alignment wrapText="1"/>
      <protection/>
    </xf>
    <xf numFmtId="0" fontId="28" fillId="0" borderId="0" xfId="0" applyFont="1" applyAlignment="1">
      <alignment horizontal="center"/>
    </xf>
    <xf numFmtId="8" fontId="0" fillId="0" borderId="0" xfId="0" applyNumberFormat="1" applyAlignment="1">
      <alignment/>
    </xf>
    <xf numFmtId="0" fontId="20" fillId="0" borderId="3" xfId="0" applyFont="1" applyBorder="1" applyAlignment="1">
      <alignment wrapText="1"/>
    </xf>
    <xf numFmtId="0" fontId="20" fillId="0" borderId="3" xfId="0" applyFont="1" applyBorder="1" applyAlignment="1">
      <alignment/>
    </xf>
    <xf numFmtId="0" fontId="23" fillId="0" borderId="3" xfId="0" applyFont="1" applyBorder="1" applyAlignment="1">
      <alignment/>
    </xf>
    <xf numFmtId="0" fontId="23" fillId="0" borderId="0" xfId="0" applyFont="1" applyAlignment="1">
      <alignment/>
    </xf>
    <xf numFmtId="0" fontId="1" fillId="0" borderId="1" xfId="0" applyFont="1" applyBorder="1" applyAlignment="1">
      <alignment horizontal="center" wrapText="1"/>
    </xf>
    <xf numFmtId="0" fontId="0" fillId="0" borderId="0" xfId="0" applyAlignment="1">
      <alignment horizontal="center" wrapText="1"/>
    </xf>
    <xf numFmtId="3" fontId="7" fillId="0" borderId="0" xfId="0" applyNumberFormat="1" applyFont="1" applyAlignment="1">
      <alignment/>
    </xf>
    <xf numFmtId="0" fontId="0" fillId="0" borderId="0" xfId="0" applyAlignment="1">
      <alignment horizontal="center"/>
    </xf>
    <xf numFmtId="0" fontId="2" fillId="0" borderId="0" xfId="0" applyFont="1" applyAlignment="1">
      <alignment horizontal="center"/>
    </xf>
    <xf numFmtId="182" fontId="4" fillId="0" borderId="6" xfId="15" applyNumberFormat="1" applyFont="1" applyFill="1" applyBorder="1" applyAlignment="1" applyProtection="1">
      <alignment/>
      <protection locked="0"/>
    </xf>
    <xf numFmtId="0" fontId="0" fillId="0" borderId="0" xfId="0" applyAlignment="1" applyProtection="1">
      <alignment horizontal="center" wrapText="1"/>
      <protection/>
    </xf>
    <xf numFmtId="0" fontId="1" fillId="0" borderId="0" xfId="0" applyFont="1" applyAlignment="1" applyProtection="1">
      <alignment horizontal="center"/>
      <protection/>
    </xf>
    <xf numFmtId="0" fontId="0" fillId="0" borderId="0" xfId="0" applyAlignment="1" applyProtection="1">
      <alignment horizontal="center"/>
      <protection/>
    </xf>
    <xf numFmtId="43" fontId="1" fillId="0" borderId="0" xfId="0" applyNumberFormat="1" applyFont="1" applyAlignment="1" applyProtection="1">
      <alignment horizontal="center"/>
      <protection/>
    </xf>
    <xf numFmtId="43" fontId="1" fillId="0" borderId="0" xfId="15" applyNumberFormat="1" applyFont="1" applyAlignment="1" applyProtection="1">
      <alignment horizontal="center"/>
      <protection/>
    </xf>
    <xf numFmtId="43" fontId="1" fillId="0" borderId="0" xfId="15" applyNumberFormat="1" applyFont="1" applyAlignment="1" applyProtection="1">
      <alignment horizontal="center"/>
      <protection locked="0"/>
    </xf>
    <xf numFmtId="3" fontId="1" fillId="0" borderId="0" xfId="0" applyNumberFormat="1" applyFont="1" applyAlignment="1" applyProtection="1">
      <alignment horizontal="center"/>
      <protection/>
    </xf>
    <xf numFmtId="8" fontId="4" fillId="0" borderId="1" xfId="0" applyNumberFormat="1" applyFont="1" applyBorder="1" applyAlignment="1" applyProtection="1">
      <alignment horizontal="center"/>
      <protection/>
    </xf>
    <xf numFmtId="8" fontId="4" fillId="0" borderId="0" xfId="0" applyNumberFormat="1" applyFont="1" applyAlignment="1" applyProtection="1">
      <alignment horizontal="center"/>
      <protection/>
    </xf>
    <xf numFmtId="197" fontId="7" fillId="2" borderId="1" xfId="17" applyNumberFormat="1" applyFont="1" applyFill="1" applyBorder="1" applyAlignment="1" applyProtection="1">
      <alignment horizontal="center"/>
      <protection locked="0"/>
    </xf>
    <xf numFmtId="181" fontId="1" fillId="0" borderId="0" xfId="15" applyNumberFormat="1" applyFont="1" applyAlignment="1" applyProtection="1">
      <alignment horizontal="center"/>
      <protection/>
    </xf>
    <xf numFmtId="0" fontId="20" fillId="0" borderId="0" xfId="0" applyFont="1" applyAlignment="1">
      <alignment horizontal="left"/>
    </xf>
    <xf numFmtId="0" fontId="0" fillId="0" borderId="6" xfId="0" applyNumberFormat="1" applyFont="1" applyFill="1" applyBorder="1" applyAlignment="1" applyProtection="1">
      <alignment horizontal="left" wrapText="1"/>
      <protection/>
    </xf>
    <xf numFmtId="0" fontId="0" fillId="0" borderId="1" xfId="0" applyNumberFormat="1" applyFont="1" applyFill="1" applyBorder="1" applyAlignment="1" applyProtection="1">
      <alignment horizontal="left" wrapText="1"/>
      <protection/>
    </xf>
    <xf numFmtId="193" fontId="7" fillId="0" borderId="1" xfId="0" applyNumberFormat="1" applyFont="1" applyBorder="1" applyAlignment="1">
      <alignment vertical="top" wrapText="1"/>
    </xf>
    <xf numFmtId="193" fontId="0" fillId="0" borderId="0" xfId="0" applyNumberFormat="1" applyAlignment="1">
      <alignment/>
    </xf>
    <xf numFmtId="193" fontId="13" fillId="0" borderId="1" xfId="0" applyNumberFormat="1" applyFont="1" applyBorder="1" applyAlignment="1">
      <alignment/>
    </xf>
    <xf numFmtId="0" fontId="11" fillId="0" borderId="0" xfId="0" applyFont="1" applyAlignment="1">
      <alignment horizontal="left"/>
    </xf>
    <xf numFmtId="0" fontId="28" fillId="0" borderId="0" xfId="0" applyFont="1" applyAlignment="1">
      <alignment/>
    </xf>
    <xf numFmtId="193" fontId="0" fillId="0" borderId="0" xfId="0" applyNumberFormat="1" applyBorder="1" applyAlignment="1">
      <alignment/>
    </xf>
    <xf numFmtId="3" fontId="7" fillId="0" borderId="0" xfId="0" applyNumberFormat="1" applyFont="1" applyAlignment="1">
      <alignment wrapText="1"/>
    </xf>
    <xf numFmtId="0" fontId="0" fillId="0" borderId="0" xfId="0" applyFont="1" applyAlignment="1">
      <alignment horizontal="left"/>
    </xf>
    <xf numFmtId="4" fontId="1" fillId="0" borderId="0" xfId="0" applyNumberFormat="1" applyFont="1" applyAlignment="1" applyProtection="1">
      <alignment wrapText="1"/>
      <protection/>
    </xf>
    <xf numFmtId="10" fontId="7" fillId="2" borderId="1" xfId="21" applyNumberFormat="1" applyFont="1" applyFill="1" applyBorder="1" applyAlignment="1" applyProtection="1">
      <alignment wrapText="1"/>
      <protection locked="0"/>
    </xf>
    <xf numFmtId="179" fontId="29" fillId="0" borderId="0" xfId="0" applyNumberFormat="1" applyFont="1" applyAlignment="1" applyProtection="1">
      <alignment/>
      <protection/>
    </xf>
    <xf numFmtId="6" fontId="1" fillId="0" borderId="0" xfId="0" applyNumberFormat="1" applyFont="1" applyAlignment="1" applyProtection="1">
      <alignment horizontal="left"/>
      <protection/>
    </xf>
    <xf numFmtId="0" fontId="29" fillId="0" borderId="0" xfId="0" applyFont="1" applyAlignment="1" applyProtection="1">
      <alignment/>
      <protection/>
    </xf>
    <xf numFmtId="3" fontId="0" fillId="0" borderId="0" xfId="0" applyNumberFormat="1" applyAlignment="1">
      <alignment/>
    </xf>
    <xf numFmtId="3" fontId="1" fillId="0" borderId="0" xfId="0" applyNumberFormat="1" applyFont="1" applyAlignment="1">
      <alignment horizontal="left"/>
    </xf>
    <xf numFmtId="3" fontId="1" fillId="0" borderId="0" xfId="0" applyNumberFormat="1" applyFont="1" applyAlignment="1">
      <alignment wrapText="1"/>
    </xf>
    <xf numFmtId="193" fontId="0" fillId="0" borderId="0" xfId="0" applyNumberFormat="1" applyAlignment="1" applyProtection="1">
      <alignment horizontal="left"/>
      <protection/>
    </xf>
    <xf numFmtId="10" fontId="0" fillId="0" borderId="0" xfId="21" applyNumberFormat="1" applyFont="1" applyAlignment="1">
      <alignment/>
    </xf>
    <xf numFmtId="0" fontId="30" fillId="0" borderId="0" xfId="0" applyFont="1" applyAlignment="1" applyProtection="1">
      <alignment horizontal="center"/>
      <protection/>
    </xf>
    <xf numFmtId="0" fontId="31" fillId="0" borderId="0" xfId="0" applyFont="1" applyAlignment="1" applyProtection="1">
      <alignment horizontal="center"/>
      <protection/>
    </xf>
    <xf numFmtId="0" fontId="31" fillId="0" borderId="0" xfId="0" applyFont="1" applyAlignment="1">
      <alignment horizontal="center"/>
    </xf>
    <xf numFmtId="193" fontId="30" fillId="0" borderId="0" xfId="0" applyNumberFormat="1" applyFont="1" applyAlignment="1" applyProtection="1">
      <alignment horizontal="right"/>
      <protection/>
    </xf>
    <xf numFmtId="179" fontId="6" fillId="0" borderId="0" xfId="0" applyNumberFormat="1" applyFont="1" applyAlignment="1" applyProtection="1">
      <alignment horizontal="left"/>
      <protection/>
    </xf>
    <xf numFmtId="0" fontId="28" fillId="0" borderId="0" xfId="0" applyFont="1" applyAlignment="1">
      <alignment/>
    </xf>
    <xf numFmtId="193" fontId="6" fillId="0" borderId="0" xfId="0" applyNumberFormat="1" applyFont="1" applyAlignment="1" applyProtection="1">
      <alignment/>
      <protection/>
    </xf>
    <xf numFmtId="193" fontId="28" fillId="0" borderId="0" xfId="0" applyNumberFormat="1" applyFont="1" applyAlignment="1" applyProtection="1">
      <alignment horizontal="left"/>
      <protection/>
    </xf>
    <xf numFmtId="182" fontId="0" fillId="0" borderId="0" xfId="15" applyNumberFormat="1" applyFont="1" applyAlignment="1">
      <alignment/>
    </xf>
    <xf numFmtId="0" fontId="6" fillId="0" borderId="0" xfId="0" applyFont="1" applyAlignment="1">
      <alignment horizontal="left"/>
    </xf>
    <xf numFmtId="0" fontId="20" fillId="0" borderId="0" xfId="0" applyFont="1" applyAlignment="1">
      <alignment horizontal="center"/>
    </xf>
    <xf numFmtId="0" fontId="23" fillId="0" borderId="0" xfId="0" applyFont="1" applyAlignment="1">
      <alignment/>
    </xf>
    <xf numFmtId="3" fontId="20" fillId="2" borderId="1" xfId="0" applyNumberFormat="1" applyFont="1" applyFill="1" applyBorder="1" applyAlignment="1" applyProtection="1">
      <alignment/>
      <protection locked="0"/>
    </xf>
    <xf numFmtId="217" fontId="20" fillId="2" borderId="1" xfId="15" applyNumberFormat="1" applyFont="1" applyFill="1" applyBorder="1" applyAlignment="1" applyProtection="1">
      <alignment horizontal="center"/>
      <protection locked="0"/>
    </xf>
    <xf numFmtId="197" fontId="20" fillId="2" borderId="1" xfId="0" applyNumberFormat="1" applyFont="1" applyFill="1" applyBorder="1" applyAlignment="1" applyProtection="1">
      <alignment horizontal="center"/>
      <protection locked="0"/>
    </xf>
    <xf numFmtId="0" fontId="0" fillId="0" borderId="0" xfId="0" applyNumberFormat="1" applyAlignment="1">
      <alignment/>
    </xf>
    <xf numFmtId="0" fontId="0" fillId="0" borderId="0" xfId="0" applyAlignment="1">
      <alignment/>
    </xf>
    <xf numFmtId="0" fontId="0" fillId="0" borderId="0" xfId="0" applyNumberFormat="1" applyAlignment="1">
      <alignment/>
    </xf>
    <xf numFmtId="0" fontId="23" fillId="0" borderId="0" xfId="0" applyNumberFormat="1" applyFont="1" applyAlignment="1">
      <alignment/>
    </xf>
    <xf numFmtId="0" fontId="32" fillId="0" borderId="0" xfId="0" applyFont="1" applyAlignment="1">
      <alignment/>
    </xf>
    <xf numFmtId="0" fontId="19" fillId="0" borderId="0" xfId="0" applyFont="1" applyAlignment="1">
      <alignment/>
    </xf>
    <xf numFmtId="0" fontId="0" fillId="0" borderId="0" xfId="0" applyFont="1" applyAlignment="1">
      <alignment/>
    </xf>
    <xf numFmtId="0" fontId="23" fillId="0" borderId="0" xfId="0" applyFont="1" applyAlignment="1">
      <alignment/>
    </xf>
    <xf numFmtId="0" fontId="22" fillId="0" borderId="0" xfId="0" applyNumberFormat="1" applyFont="1" applyAlignment="1">
      <alignment/>
    </xf>
    <xf numFmtId="0" fontId="9" fillId="0" borderId="0" xfId="0" applyFont="1" applyAlignment="1">
      <alignment horizontal="center"/>
    </xf>
    <xf numFmtId="0" fontId="23" fillId="2" borderId="1" xfId="0" applyNumberFormat="1" applyFont="1" applyFill="1" applyBorder="1" applyAlignment="1">
      <alignment/>
    </xf>
    <xf numFmtId="0" fontId="15" fillId="0" borderId="0" xfId="20" applyAlignment="1" applyProtection="1">
      <alignment/>
      <protection/>
    </xf>
    <xf numFmtId="3" fontId="13" fillId="0" borderId="0" xfId="0" applyNumberFormat="1" applyFont="1" applyAlignment="1">
      <alignment/>
    </xf>
    <xf numFmtId="193" fontId="33" fillId="0" borderId="1" xfId="0" applyNumberFormat="1" applyFont="1" applyBorder="1" applyAlignment="1">
      <alignment horizontal="right"/>
    </xf>
    <xf numFmtId="2" fontId="7" fillId="0" borderId="0" xfId="0" applyNumberFormat="1" applyFont="1" applyAlignment="1">
      <alignment/>
    </xf>
    <xf numFmtId="0" fontId="13" fillId="0" borderId="0" xfId="0" applyFont="1" applyAlignment="1" applyProtection="1">
      <alignment horizontal="left"/>
      <protection/>
    </xf>
    <xf numFmtId="0" fontId="13" fillId="0" borderId="0" xfId="0" applyFont="1" applyAlignment="1" applyProtection="1">
      <alignment/>
      <protection/>
    </xf>
    <xf numFmtId="170" fontId="13" fillId="0" borderId="0" xfId="0" applyNumberFormat="1" applyFont="1" applyAlignment="1" applyProtection="1">
      <alignment/>
      <protection/>
    </xf>
    <xf numFmtId="8" fontId="13" fillId="0" borderId="0" xfId="0" applyNumberFormat="1" applyFont="1" applyAlignment="1" applyProtection="1">
      <alignment/>
      <protection/>
    </xf>
    <xf numFmtId="10" fontId="28" fillId="0" borderId="0" xfId="21" applyNumberFormat="1" applyFont="1" applyAlignment="1">
      <alignment/>
    </xf>
    <xf numFmtId="44" fontId="7" fillId="0" borderId="0" xfId="17" applyFont="1" applyBorder="1" applyAlignment="1">
      <alignment wrapText="1"/>
    </xf>
    <xf numFmtId="1" fontId="7" fillId="0" borderId="0" xfId="0" applyNumberFormat="1" applyFont="1" applyAlignment="1" applyProtection="1">
      <alignment wrapText="1"/>
      <protection/>
    </xf>
    <xf numFmtId="9" fontId="20" fillId="0" borderId="0" xfId="0" applyNumberFormat="1" applyFont="1" applyBorder="1" applyAlignment="1">
      <alignment horizontal="center" wrapText="1"/>
    </xf>
    <xf numFmtId="1" fontId="7" fillId="0" borderId="0" xfId="0" applyNumberFormat="1" applyFont="1" applyAlignment="1" applyProtection="1">
      <alignment horizontal="right" wrapText="1"/>
      <protection/>
    </xf>
    <xf numFmtId="1" fontId="13" fillId="0" borderId="0" xfId="0" applyNumberFormat="1" applyFont="1" applyAlignment="1">
      <alignment/>
    </xf>
    <xf numFmtId="1" fontId="20" fillId="0" borderId="0" xfId="0" applyNumberFormat="1" applyFont="1" applyAlignment="1">
      <alignment horizontal="center" wrapText="1"/>
    </xf>
    <xf numFmtId="6" fontId="7" fillId="0" borderId="0" xfId="0" applyNumberFormat="1" applyFont="1" applyBorder="1" applyAlignment="1" applyProtection="1">
      <alignment horizontal="left"/>
      <protection/>
    </xf>
    <xf numFmtId="0" fontId="0" fillId="0" borderId="0" xfId="0" applyBorder="1" applyAlignment="1">
      <alignment horizontal="left"/>
    </xf>
    <xf numFmtId="0" fontId="9" fillId="0" borderId="0" xfId="0" applyFont="1" applyAlignment="1">
      <alignment horizontal="left"/>
    </xf>
    <xf numFmtId="170" fontId="7" fillId="0" borderId="0" xfId="0" applyNumberFormat="1" applyFont="1" applyBorder="1" applyAlignment="1" applyProtection="1">
      <alignment horizontal="left" wrapText="1"/>
      <protection/>
    </xf>
    <xf numFmtId="170" fontId="13" fillId="0" borderId="1" xfId="0" applyNumberFormat="1" applyFont="1" applyBorder="1" applyAlignment="1" applyProtection="1">
      <alignment/>
      <protection/>
    </xf>
    <xf numFmtId="170" fontId="21" fillId="0" borderId="1" xfId="0" applyNumberFormat="1" applyFont="1" applyBorder="1" applyAlignment="1" applyProtection="1">
      <alignment horizontal="left"/>
      <protection/>
    </xf>
    <xf numFmtId="170" fontId="20" fillId="0" borderId="1" xfId="0" applyNumberFormat="1" applyFont="1" applyBorder="1" applyAlignment="1" applyProtection="1">
      <alignment/>
      <protection/>
    </xf>
    <xf numFmtId="170" fontId="21" fillId="0" borderId="0" xfId="0" applyNumberFormat="1" applyFont="1" applyAlignment="1" applyProtection="1">
      <alignment horizontal="left"/>
      <protection/>
    </xf>
    <xf numFmtId="170" fontId="13" fillId="0" borderId="1" xfId="0" applyNumberFormat="1" applyFont="1" applyBorder="1" applyAlignment="1" applyProtection="1">
      <alignment horizontal="left"/>
      <protection/>
    </xf>
    <xf numFmtId="0" fontId="0" fillId="0" borderId="0" xfId="0" applyAlignment="1">
      <alignment wrapText="1"/>
    </xf>
    <xf numFmtId="44" fontId="7" fillId="2" borderId="6" xfId="17" applyNumberFormat="1" applyFont="1" applyFill="1" applyBorder="1" applyAlignment="1" applyProtection="1">
      <alignment horizontal="center"/>
      <protection locked="0"/>
    </xf>
    <xf numFmtId="37" fontId="7" fillId="2" borderId="6" xfId="17" applyNumberFormat="1" applyFont="1" applyFill="1" applyBorder="1" applyAlignment="1" applyProtection="1">
      <alignment horizontal="center"/>
      <protection locked="0"/>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3" fontId="7" fillId="2" borderId="19" xfId="0" applyNumberFormat="1" applyFont="1" applyFill="1" applyBorder="1" applyAlignment="1" applyProtection="1">
      <alignment horizontal="center"/>
      <protection locked="0"/>
    </xf>
    <xf numFmtId="3" fontId="7" fillId="2" borderId="25" xfId="0" applyNumberFormat="1" applyFont="1" applyFill="1" applyBorder="1" applyAlignment="1" applyProtection="1">
      <alignment horizontal="center"/>
      <protection locked="0"/>
    </xf>
    <xf numFmtId="3" fontId="7" fillId="2" borderId="26" xfId="0" applyNumberFormat="1" applyFont="1" applyFill="1" applyBorder="1" applyAlignment="1" applyProtection="1">
      <alignment horizontal="center"/>
      <protection locked="0"/>
    </xf>
    <xf numFmtId="0" fontId="20" fillId="0" borderId="0" xfId="0" applyNumberFormat="1" applyFont="1" applyFill="1" applyBorder="1" applyAlignment="1" applyProtection="1">
      <alignment wrapText="1"/>
      <protection/>
    </xf>
    <xf numFmtId="0" fontId="0" fillId="0" borderId="0" xfId="0" applyAlignment="1">
      <alignment wrapText="1"/>
    </xf>
    <xf numFmtId="0" fontId="13" fillId="0" borderId="3" xfId="0" applyFont="1" applyBorder="1" applyAlignment="1">
      <alignment wrapText="1"/>
    </xf>
    <xf numFmtId="0" fontId="0" fillId="0" borderId="3" xfId="0" applyBorder="1" applyAlignment="1">
      <alignment wrapText="1"/>
    </xf>
    <xf numFmtId="0" fontId="13" fillId="0" borderId="25" xfId="0" applyFont="1" applyBorder="1" applyAlignment="1">
      <alignment wrapText="1"/>
    </xf>
    <xf numFmtId="0" fontId="0" fillId="0" borderId="25" xfId="0" applyBorder="1" applyAlignment="1">
      <alignment wrapText="1"/>
    </xf>
    <xf numFmtId="0" fontId="1" fillId="0" borderId="19" xfId="0" applyFont="1" applyBorder="1" applyAlignment="1">
      <alignment horizontal="center" wrapText="1"/>
    </xf>
    <xf numFmtId="0" fontId="1" fillId="0" borderId="25" xfId="0" applyFont="1" applyBorder="1" applyAlignment="1">
      <alignment horizontal="center" wrapText="1"/>
    </xf>
    <xf numFmtId="0" fontId="13" fillId="0" borderId="27" xfId="0" applyFont="1" applyBorder="1" applyAlignment="1">
      <alignment horizontal="center" wrapText="1"/>
    </xf>
    <xf numFmtId="6" fontId="7" fillId="0" borderId="28" xfId="0" applyNumberFormat="1" applyFont="1" applyBorder="1" applyAlignment="1" applyProtection="1">
      <alignment horizontal="right"/>
      <protection/>
    </xf>
    <xf numFmtId="0" fontId="0" fillId="0" borderId="29" xfId="0" applyBorder="1" applyAlignment="1">
      <alignment horizontal="right"/>
    </xf>
    <xf numFmtId="9" fontId="20" fillId="0" borderId="2" xfId="0" applyNumberFormat="1" applyFont="1" applyBorder="1" applyAlignment="1">
      <alignment horizontal="center" wrapText="1"/>
    </xf>
    <xf numFmtId="0" fontId="2" fillId="0" borderId="0" xfId="0" applyFont="1" applyAlignment="1">
      <alignment wrapText="1"/>
    </xf>
    <xf numFmtId="0" fontId="2" fillId="0" borderId="17" xfId="0" applyFont="1" applyBorder="1" applyAlignment="1">
      <alignment wrapText="1"/>
    </xf>
    <xf numFmtId="0" fontId="21" fillId="0" borderId="0" xfId="0" applyFont="1" applyAlignment="1">
      <alignment horizontal="center"/>
    </xf>
    <xf numFmtId="0" fontId="2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6</xdr:col>
      <xdr:colOff>247650</xdr:colOff>
      <xdr:row>12</xdr:row>
      <xdr:rowOff>9525</xdr:rowOff>
    </xdr:to>
    <xdr:pic>
      <xdr:nvPicPr>
        <xdr:cNvPr id="1" name="Picture 1" descr="msue14"/>
        <xdr:cNvPicPr preferRelativeResize="1">
          <a:picLocks noChangeAspect="1"/>
        </xdr:cNvPicPr>
      </xdr:nvPicPr>
      <xdr:blipFill>
        <a:blip r:embed="rId1"/>
        <a:stretch>
          <a:fillRect/>
        </a:stretch>
      </xdr:blipFill>
      <xdr:spPr>
        <a:xfrm>
          <a:off x="180975" y="733425"/>
          <a:ext cx="3390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tz@msu.edu" TargetMode="External" /><Relationship Id="rId2" Type="http://schemas.openxmlformats.org/officeDocument/2006/relationships/hyperlink" Target="mailto:fernan15@msu.edu" TargetMode="External" /><Relationship Id="rId3" Type="http://schemas.openxmlformats.org/officeDocument/2006/relationships/hyperlink" Target="mailto:dudek@msu.edu"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2:R86"/>
  <sheetViews>
    <sheetView tabSelected="1" zoomScale="150" zoomScaleNormal="150" workbookViewId="0" topLeftCell="A1">
      <selection activeCell="A1" sqref="A1"/>
    </sheetView>
  </sheetViews>
  <sheetFormatPr defaultColWidth="8.8515625" defaultRowHeight="12.75"/>
  <cols>
    <col min="1" max="1" width="2.28125" style="0" customWidth="1"/>
    <col min="2" max="2" width="12.140625" style="0" customWidth="1"/>
  </cols>
  <sheetData>
    <row r="2" ht="30">
      <c r="B2" s="235" t="s">
        <v>392</v>
      </c>
    </row>
    <row r="3" ht="12.75">
      <c r="B3" t="s">
        <v>6</v>
      </c>
    </row>
    <row r="14" spans="2:11" ht="12.75">
      <c r="B14" s="237" t="s">
        <v>383</v>
      </c>
      <c r="K14" s="202" t="s">
        <v>424</v>
      </c>
    </row>
    <row r="15" spans="2:11" ht="15.75">
      <c r="B15" s="236"/>
      <c r="C15" s="30" t="s">
        <v>431</v>
      </c>
      <c r="D15" s="30"/>
      <c r="E15" s="30"/>
      <c r="F15" s="30"/>
      <c r="G15" s="30"/>
      <c r="H15" s="30"/>
      <c r="I15" s="30"/>
      <c r="K15" s="242" t="s">
        <v>422</v>
      </c>
    </row>
    <row r="16" spans="2:11" ht="15.75">
      <c r="B16" s="236"/>
      <c r="C16" s="30" t="s">
        <v>384</v>
      </c>
      <c r="D16" s="30"/>
      <c r="E16" s="30"/>
      <c r="F16" s="30"/>
      <c r="G16" s="30"/>
      <c r="H16" s="30"/>
      <c r="I16" s="30"/>
      <c r="K16" s="242" t="s">
        <v>423</v>
      </c>
    </row>
    <row r="17" spans="2:11" ht="15.75">
      <c r="B17" s="236"/>
      <c r="C17" s="30" t="s">
        <v>448</v>
      </c>
      <c r="D17" s="30"/>
      <c r="E17" s="30"/>
      <c r="F17" s="30"/>
      <c r="G17" s="30"/>
      <c r="H17" s="30"/>
      <c r="I17" s="30"/>
      <c r="K17" s="242" t="s">
        <v>4</v>
      </c>
    </row>
    <row r="18" ht="12.75">
      <c r="B18" t="s">
        <v>430</v>
      </c>
    </row>
    <row r="19" spans="3:7" ht="15.75">
      <c r="C19" s="30" t="s">
        <v>437</v>
      </c>
      <c r="D19" s="30"/>
      <c r="E19" s="30"/>
      <c r="F19" s="30"/>
      <c r="G19" s="30"/>
    </row>
    <row r="20" spans="3:7" ht="15.75">
      <c r="C20" s="30" t="s">
        <v>5</v>
      </c>
      <c r="D20" s="30"/>
      <c r="E20" s="30"/>
      <c r="F20" s="30"/>
      <c r="G20" s="30"/>
    </row>
    <row r="21" spans="2:7" ht="15.75">
      <c r="B21" t="s">
        <v>439</v>
      </c>
      <c r="C21" s="30"/>
      <c r="D21" s="30"/>
      <c r="E21" s="30"/>
      <c r="F21" s="30"/>
      <c r="G21" s="30"/>
    </row>
    <row r="22" spans="3:7" ht="15.75">
      <c r="C22" s="30" t="s">
        <v>438</v>
      </c>
      <c r="D22" s="30"/>
      <c r="E22" s="30"/>
      <c r="F22" s="30"/>
      <c r="G22" s="30"/>
    </row>
    <row r="23" spans="3:7" ht="15.75">
      <c r="C23" s="30"/>
      <c r="D23" s="30"/>
      <c r="E23" s="30"/>
      <c r="F23" s="30"/>
      <c r="G23" s="30"/>
    </row>
    <row r="24" spans="2:13" ht="18">
      <c r="B24" s="234" t="s">
        <v>432</v>
      </c>
      <c r="C24" s="232"/>
      <c r="D24" s="232"/>
      <c r="E24" s="232"/>
      <c r="F24" s="232"/>
      <c r="G24" s="232"/>
      <c r="H24" s="232"/>
      <c r="I24" s="232"/>
      <c r="J24" s="232"/>
      <c r="K24" s="232"/>
      <c r="L24" s="232"/>
      <c r="M24" s="232"/>
    </row>
    <row r="25" spans="2:13" ht="18">
      <c r="B25" s="234" t="s">
        <v>396</v>
      </c>
      <c r="C25" s="232"/>
      <c r="D25" s="232"/>
      <c r="E25" s="232"/>
      <c r="F25" s="232"/>
      <c r="G25" s="232"/>
      <c r="H25" s="232"/>
      <c r="I25" s="232"/>
      <c r="J25" s="232"/>
      <c r="K25" s="232"/>
      <c r="L25" s="232"/>
      <c r="M25" s="232"/>
    </row>
    <row r="26" spans="2:13" ht="18">
      <c r="B26" s="234"/>
      <c r="C26" s="238" t="s">
        <v>387</v>
      </c>
      <c r="D26" s="232"/>
      <c r="E26" s="232"/>
      <c r="F26" s="232"/>
      <c r="G26" s="232"/>
      <c r="H26" s="232"/>
      <c r="I26" s="232"/>
      <c r="J26" s="232"/>
      <c r="K26" s="232"/>
      <c r="L26" s="232"/>
      <c r="M26" s="232"/>
    </row>
    <row r="27" spans="2:13" ht="18">
      <c r="B27" s="234"/>
      <c r="C27" s="238" t="s">
        <v>385</v>
      </c>
      <c r="D27" s="232"/>
      <c r="E27" s="232"/>
      <c r="F27" s="232"/>
      <c r="G27" s="232"/>
      <c r="H27" s="232"/>
      <c r="I27" s="232"/>
      <c r="J27" s="232"/>
      <c r="K27" s="232"/>
      <c r="L27" s="232"/>
      <c r="M27" s="232"/>
    </row>
    <row r="28" spans="2:13" ht="18">
      <c r="B28" s="234"/>
      <c r="C28" s="238" t="s">
        <v>386</v>
      </c>
      <c r="D28" s="232"/>
      <c r="E28" s="232"/>
      <c r="F28" s="232"/>
      <c r="G28" s="232"/>
      <c r="H28" s="232"/>
      <c r="I28" s="232"/>
      <c r="J28" s="232"/>
      <c r="K28" s="232"/>
      <c r="L28" s="232"/>
      <c r="M28" s="232"/>
    </row>
    <row r="29" spans="2:13" ht="18">
      <c r="B29" s="234" t="s">
        <v>397</v>
      </c>
      <c r="C29" s="238"/>
      <c r="D29" s="232"/>
      <c r="E29" s="232"/>
      <c r="F29" s="232"/>
      <c r="G29" s="232"/>
      <c r="H29" s="232"/>
      <c r="I29" s="232"/>
      <c r="J29" s="232"/>
      <c r="K29" s="232"/>
      <c r="L29" s="232"/>
      <c r="M29" s="232"/>
    </row>
    <row r="30" spans="2:13" ht="18">
      <c r="B30" s="234" t="s">
        <v>425</v>
      </c>
      <c r="C30" s="238"/>
      <c r="D30" s="232"/>
      <c r="E30" s="232"/>
      <c r="F30" s="232"/>
      <c r="G30" s="232"/>
      <c r="H30" s="232"/>
      <c r="I30" s="232"/>
      <c r="J30" s="232"/>
      <c r="K30" s="232"/>
      <c r="L30" s="232"/>
      <c r="M30" s="232"/>
    </row>
    <row r="31" spans="2:13" ht="18">
      <c r="B31" s="234"/>
      <c r="C31" s="238"/>
      <c r="D31" s="232"/>
      <c r="E31" s="232"/>
      <c r="F31" s="232"/>
      <c r="G31" s="232"/>
      <c r="H31" s="232"/>
      <c r="I31" s="232"/>
      <c r="J31" s="232"/>
      <c r="K31" s="232"/>
      <c r="L31" s="232"/>
      <c r="M31" s="232"/>
    </row>
    <row r="32" spans="2:13" ht="18">
      <c r="B32" s="234" t="s">
        <v>358</v>
      </c>
      <c r="C32" s="41"/>
      <c r="D32" s="41"/>
      <c r="E32" s="41"/>
      <c r="F32" s="41"/>
      <c r="G32" s="41"/>
      <c r="H32" s="41"/>
      <c r="I32" s="41"/>
      <c r="J32" s="41"/>
      <c r="K32" s="41"/>
      <c r="L32" s="41"/>
      <c r="M32" s="41"/>
    </row>
    <row r="33" spans="2:13" ht="18">
      <c r="B33" s="234" t="s">
        <v>377</v>
      </c>
      <c r="C33" s="41"/>
      <c r="D33" s="41"/>
      <c r="E33" s="41"/>
      <c r="F33" s="41"/>
      <c r="G33" s="41"/>
      <c r="H33" s="41"/>
      <c r="I33" s="41"/>
      <c r="J33" s="41"/>
      <c r="K33" s="41"/>
      <c r="L33" s="41"/>
      <c r="M33" s="41"/>
    </row>
    <row r="34" spans="2:13" ht="18">
      <c r="B34" s="234" t="s">
        <v>418</v>
      </c>
      <c r="C34" s="41"/>
      <c r="D34" s="41"/>
      <c r="E34" s="41"/>
      <c r="F34" s="41"/>
      <c r="G34" s="41"/>
      <c r="H34" s="41"/>
      <c r="I34" s="41"/>
      <c r="J34" s="41"/>
      <c r="K34" s="41"/>
      <c r="L34" s="41"/>
      <c r="M34" s="41"/>
    </row>
    <row r="35" spans="2:13" ht="18">
      <c r="B35" s="234" t="s">
        <v>433</v>
      </c>
      <c r="C35" s="41"/>
      <c r="D35" s="41"/>
      <c r="E35" s="41"/>
      <c r="F35" s="41"/>
      <c r="G35" s="41"/>
      <c r="H35" s="41"/>
      <c r="I35" s="41"/>
      <c r="J35" s="41"/>
      <c r="K35" s="41"/>
      <c r="L35" s="41"/>
      <c r="M35" s="41"/>
    </row>
    <row r="36" spans="2:13" ht="18">
      <c r="B36" s="234" t="s">
        <v>388</v>
      </c>
      <c r="C36" s="41"/>
      <c r="D36" s="41"/>
      <c r="E36" s="41"/>
      <c r="F36" s="41"/>
      <c r="G36" s="41"/>
      <c r="H36" s="41"/>
      <c r="I36" s="41"/>
      <c r="J36" s="41"/>
      <c r="K36" s="41"/>
      <c r="L36" s="41"/>
      <c r="M36" s="41"/>
    </row>
    <row r="37" spans="2:13" ht="18">
      <c r="B37" s="234" t="s">
        <v>434</v>
      </c>
      <c r="C37" s="41"/>
      <c r="D37" s="41"/>
      <c r="E37" s="41"/>
      <c r="F37" s="41"/>
      <c r="G37" s="41"/>
      <c r="H37" s="41"/>
      <c r="I37" s="41"/>
      <c r="J37" s="41"/>
      <c r="K37" s="41"/>
      <c r="L37" s="41"/>
      <c r="M37" s="41"/>
    </row>
    <row r="38" spans="2:13" ht="18">
      <c r="B38" s="234" t="s">
        <v>398</v>
      </c>
      <c r="C38" s="41"/>
      <c r="D38" s="41"/>
      <c r="E38" s="41"/>
      <c r="F38" s="41"/>
      <c r="G38" s="41"/>
      <c r="H38" s="41"/>
      <c r="I38" s="41"/>
      <c r="J38" s="41"/>
      <c r="K38" s="41"/>
      <c r="L38" s="41"/>
      <c r="M38" s="41"/>
    </row>
    <row r="39" spans="2:13" ht="18">
      <c r="B39" s="234"/>
      <c r="C39" s="41"/>
      <c r="D39" s="41"/>
      <c r="E39" s="41"/>
      <c r="F39" s="41"/>
      <c r="G39" s="41"/>
      <c r="H39" s="41"/>
      <c r="I39" s="41"/>
      <c r="J39" s="41"/>
      <c r="K39" s="41"/>
      <c r="L39" s="41"/>
      <c r="M39" s="41"/>
    </row>
    <row r="40" spans="2:13" ht="18">
      <c r="B40" s="234" t="s">
        <v>359</v>
      </c>
      <c r="C40" s="41"/>
      <c r="D40" s="41"/>
      <c r="E40" s="41"/>
      <c r="F40" s="41"/>
      <c r="G40" s="41"/>
      <c r="H40" s="41"/>
      <c r="I40" s="41"/>
      <c r="J40" s="41"/>
      <c r="K40" s="41"/>
      <c r="L40" s="41"/>
      <c r="M40" s="41"/>
    </row>
    <row r="41" spans="2:13" ht="18">
      <c r="B41" s="234" t="s">
        <v>360</v>
      </c>
      <c r="C41" s="41"/>
      <c r="D41" s="41"/>
      <c r="E41" s="41"/>
      <c r="F41" s="41"/>
      <c r="G41" s="41"/>
      <c r="H41" s="41"/>
      <c r="I41" s="41"/>
      <c r="J41" s="41"/>
      <c r="K41" s="41"/>
      <c r="L41" s="41"/>
      <c r="M41" s="41"/>
    </row>
    <row r="42" spans="2:13" ht="18">
      <c r="B42" s="234" t="s">
        <v>382</v>
      </c>
      <c r="C42" s="41"/>
      <c r="D42" s="41"/>
      <c r="E42" s="41"/>
      <c r="F42" s="41"/>
      <c r="G42" s="41"/>
      <c r="H42" s="41"/>
      <c r="I42" s="41"/>
      <c r="J42" s="41"/>
      <c r="K42" s="41"/>
      <c r="L42" s="41"/>
      <c r="M42" s="41"/>
    </row>
    <row r="43" spans="2:17" ht="18">
      <c r="B43" s="234" t="s">
        <v>372</v>
      </c>
      <c r="C43" s="41"/>
      <c r="D43" s="41"/>
      <c r="E43" s="41"/>
      <c r="F43" s="41"/>
      <c r="G43" s="41"/>
      <c r="H43" s="41"/>
      <c r="I43" s="41"/>
      <c r="J43" s="41"/>
      <c r="K43" s="41"/>
      <c r="L43" s="41"/>
      <c r="M43" s="41"/>
      <c r="Q43" s="231"/>
    </row>
    <row r="44" spans="2:17" ht="18">
      <c r="B44" s="234" t="s">
        <v>389</v>
      </c>
      <c r="C44" s="41"/>
      <c r="D44" s="41"/>
      <c r="E44" s="41"/>
      <c r="F44" s="41"/>
      <c r="G44" s="41"/>
      <c r="H44" s="41"/>
      <c r="I44" s="41"/>
      <c r="J44" s="41"/>
      <c r="K44" s="41"/>
      <c r="L44" s="41"/>
      <c r="M44" s="41"/>
      <c r="Q44" s="231"/>
    </row>
    <row r="45" spans="2:17" ht="18">
      <c r="B45" s="234"/>
      <c r="C45" s="41"/>
      <c r="D45" s="41"/>
      <c r="E45" s="41"/>
      <c r="F45" s="41"/>
      <c r="G45" s="41"/>
      <c r="H45" s="41"/>
      <c r="I45" s="41"/>
      <c r="J45" s="41"/>
      <c r="K45" s="41"/>
      <c r="L45" s="41"/>
      <c r="M45" s="41"/>
      <c r="Q45" s="231"/>
    </row>
    <row r="46" spans="1:18" ht="18">
      <c r="A46" s="232"/>
      <c r="B46" s="234" t="s">
        <v>371</v>
      </c>
      <c r="C46" s="232"/>
      <c r="D46" s="232"/>
      <c r="E46" s="232"/>
      <c r="F46" s="232"/>
      <c r="G46" s="232"/>
      <c r="H46" s="232"/>
      <c r="I46" s="232"/>
      <c r="J46" s="232"/>
      <c r="K46" s="232"/>
      <c r="L46" s="232"/>
      <c r="M46" s="232"/>
      <c r="N46" s="232"/>
      <c r="O46" s="232"/>
      <c r="P46" s="232"/>
      <c r="Q46" s="232"/>
      <c r="R46" s="232"/>
    </row>
    <row r="47" spans="1:18" ht="18">
      <c r="A47" s="232"/>
      <c r="B47" s="234" t="s">
        <v>450</v>
      </c>
      <c r="C47" s="232"/>
      <c r="D47" s="232"/>
      <c r="E47" s="232"/>
      <c r="F47" s="232"/>
      <c r="G47" s="232"/>
      <c r="H47" s="232"/>
      <c r="I47" s="232"/>
      <c r="J47" s="232"/>
      <c r="K47" s="232"/>
      <c r="L47" s="232"/>
      <c r="M47" s="232"/>
      <c r="N47" s="232"/>
      <c r="O47" s="232"/>
      <c r="P47" s="232"/>
      <c r="Q47" s="232"/>
      <c r="R47" s="232"/>
    </row>
    <row r="48" spans="1:18" ht="18">
      <c r="A48" s="232"/>
      <c r="B48" s="234" t="s">
        <v>390</v>
      </c>
      <c r="C48" s="232"/>
      <c r="D48" s="232"/>
      <c r="E48" s="232"/>
      <c r="F48" s="232"/>
      <c r="G48" s="232"/>
      <c r="H48" s="232"/>
      <c r="I48" s="232"/>
      <c r="J48" s="232"/>
      <c r="K48" s="232"/>
      <c r="L48" s="232"/>
      <c r="M48" s="232"/>
      <c r="N48" s="232"/>
      <c r="O48" s="232"/>
      <c r="P48" s="232"/>
      <c r="Q48" s="232"/>
      <c r="R48" s="232"/>
    </row>
    <row r="49" spans="1:18" ht="12.75">
      <c r="A49" s="232"/>
      <c r="B49" s="233"/>
      <c r="C49" s="232"/>
      <c r="D49" s="232"/>
      <c r="E49" s="232"/>
      <c r="F49" s="232"/>
      <c r="G49" s="232"/>
      <c r="H49" s="232"/>
      <c r="I49" s="232"/>
      <c r="J49" s="232"/>
      <c r="K49" s="232"/>
      <c r="L49" s="232"/>
      <c r="M49" s="232"/>
      <c r="N49" s="232"/>
      <c r="O49" s="232"/>
      <c r="P49" s="232"/>
      <c r="Q49" s="232"/>
      <c r="R49" s="232"/>
    </row>
    <row r="50" spans="1:18" ht="12.75">
      <c r="A50" s="232"/>
      <c r="B50" s="233"/>
      <c r="C50" s="232"/>
      <c r="D50" s="232"/>
      <c r="E50" s="232"/>
      <c r="F50" s="232"/>
      <c r="G50" s="232"/>
      <c r="H50" s="232"/>
      <c r="I50" s="232"/>
      <c r="J50" s="232"/>
      <c r="K50" s="232"/>
      <c r="L50" s="232"/>
      <c r="M50" s="232"/>
      <c r="N50" s="232"/>
      <c r="O50" s="232"/>
      <c r="P50" s="232"/>
      <c r="Q50" s="232"/>
      <c r="R50" s="232"/>
    </row>
    <row r="51" spans="1:18" ht="12.75">
      <c r="A51" s="232"/>
      <c r="B51" s="233"/>
      <c r="C51" s="232"/>
      <c r="D51" s="232"/>
      <c r="E51" s="232"/>
      <c r="F51" s="232"/>
      <c r="G51" s="232"/>
      <c r="H51" s="232"/>
      <c r="I51" s="232"/>
      <c r="J51" s="232"/>
      <c r="K51" s="232"/>
      <c r="L51" s="232"/>
      <c r="M51" s="232"/>
      <c r="N51" s="232"/>
      <c r="O51" s="232"/>
      <c r="P51" s="232"/>
      <c r="Q51" s="232"/>
      <c r="R51" s="232"/>
    </row>
    <row r="52" spans="1:18" ht="18">
      <c r="A52" s="232"/>
      <c r="B52" s="239" t="s">
        <v>391</v>
      </c>
      <c r="C52" s="238"/>
      <c r="D52" s="232"/>
      <c r="E52" s="232"/>
      <c r="F52" s="232"/>
      <c r="G52" s="232"/>
      <c r="H52" s="232"/>
      <c r="I52" s="232"/>
      <c r="J52" s="232"/>
      <c r="K52" s="232"/>
      <c r="L52" s="232"/>
      <c r="M52" s="232"/>
      <c r="N52" s="232"/>
      <c r="O52" s="232"/>
      <c r="P52" s="232"/>
      <c r="Q52" s="232"/>
      <c r="R52" s="232"/>
    </row>
    <row r="53" spans="1:18" ht="18">
      <c r="A53" s="232"/>
      <c r="B53" s="234" t="s">
        <v>399</v>
      </c>
      <c r="C53" s="238"/>
      <c r="D53" s="232"/>
      <c r="E53" s="232"/>
      <c r="F53" s="232"/>
      <c r="G53" s="232"/>
      <c r="H53" s="232"/>
      <c r="I53" s="232"/>
      <c r="J53" s="232"/>
      <c r="K53" s="232"/>
      <c r="L53" s="232"/>
      <c r="M53" s="232"/>
      <c r="N53" s="232"/>
      <c r="O53" s="232"/>
      <c r="P53" s="232"/>
      <c r="Q53" s="232"/>
      <c r="R53" s="232"/>
    </row>
    <row r="54" spans="1:18" ht="18">
      <c r="A54" s="232"/>
      <c r="B54" s="234" t="s">
        <v>393</v>
      </c>
      <c r="C54" s="238"/>
      <c r="D54" s="232"/>
      <c r="E54" s="232"/>
      <c r="F54" s="232"/>
      <c r="G54" s="232"/>
      <c r="H54" s="232"/>
      <c r="I54" s="232"/>
      <c r="J54" s="232"/>
      <c r="K54" s="232"/>
      <c r="L54" s="232"/>
      <c r="M54" s="232"/>
      <c r="N54" s="232"/>
      <c r="O54" s="232"/>
      <c r="P54" s="232"/>
      <c r="Q54" s="232"/>
      <c r="R54" s="232"/>
    </row>
    <row r="55" spans="1:18" ht="18">
      <c r="A55" s="232"/>
      <c r="B55" s="234" t="s">
        <v>394</v>
      </c>
      <c r="C55" s="238"/>
      <c r="D55" s="232"/>
      <c r="E55" s="232"/>
      <c r="F55" s="232"/>
      <c r="G55" s="232"/>
      <c r="H55" s="232"/>
      <c r="I55" s="232"/>
      <c r="J55" s="232"/>
      <c r="K55" s="232"/>
      <c r="L55" s="232"/>
      <c r="M55" s="232"/>
      <c r="N55" s="232"/>
      <c r="O55" s="232"/>
      <c r="P55" s="232"/>
      <c r="Q55" s="232"/>
      <c r="R55" s="232"/>
    </row>
    <row r="56" spans="1:18" ht="18">
      <c r="A56" s="232"/>
      <c r="B56" s="234" t="s">
        <v>435</v>
      </c>
      <c r="C56" s="238"/>
      <c r="D56" s="232"/>
      <c r="E56" s="232"/>
      <c r="F56" s="232"/>
      <c r="G56" s="232"/>
      <c r="H56" s="232"/>
      <c r="I56" s="232"/>
      <c r="J56" s="232"/>
      <c r="K56" s="232"/>
      <c r="L56" s="232"/>
      <c r="M56" s="232"/>
      <c r="N56" s="232"/>
      <c r="O56" s="232"/>
      <c r="P56" s="232"/>
      <c r="Q56" s="232"/>
      <c r="R56" s="232"/>
    </row>
    <row r="57" spans="1:18" ht="18">
      <c r="A57" s="232"/>
      <c r="B57" s="234" t="s">
        <v>395</v>
      </c>
      <c r="C57" s="238"/>
      <c r="D57" s="232"/>
      <c r="E57" s="232"/>
      <c r="F57" s="232"/>
      <c r="G57" s="232"/>
      <c r="H57" s="232"/>
      <c r="I57" s="232"/>
      <c r="J57" s="232"/>
      <c r="K57" s="232"/>
      <c r="L57" s="232"/>
      <c r="M57" s="232"/>
      <c r="N57" s="232"/>
      <c r="O57" s="232"/>
      <c r="P57" s="232"/>
      <c r="Q57" s="232"/>
      <c r="R57" s="232"/>
    </row>
    <row r="58" spans="1:18" ht="18">
      <c r="A58" s="232"/>
      <c r="B58" s="234" t="s">
        <v>436</v>
      </c>
      <c r="C58" s="232"/>
      <c r="D58" s="232"/>
      <c r="E58" s="232"/>
      <c r="F58" s="232"/>
      <c r="G58" s="232"/>
      <c r="H58" s="232"/>
      <c r="I58" s="232"/>
      <c r="J58" s="232"/>
      <c r="K58" s="232"/>
      <c r="L58" s="232"/>
      <c r="M58" s="232"/>
      <c r="N58" s="232"/>
      <c r="O58" s="232"/>
      <c r="P58" s="232"/>
      <c r="Q58" s="232"/>
      <c r="R58" s="232"/>
    </row>
    <row r="59" spans="1:18" ht="12.75">
      <c r="A59" s="232"/>
      <c r="B59" s="233"/>
      <c r="C59" s="232"/>
      <c r="D59" s="232"/>
      <c r="E59" s="232"/>
      <c r="F59" s="232"/>
      <c r="G59" s="232"/>
      <c r="H59" s="232"/>
      <c r="I59" s="232"/>
      <c r="J59" s="232"/>
      <c r="K59" s="232"/>
      <c r="L59" s="232"/>
      <c r="M59" s="232"/>
      <c r="N59" s="232"/>
      <c r="O59" s="232"/>
      <c r="P59" s="232"/>
      <c r="Q59" s="232"/>
      <c r="R59" s="232"/>
    </row>
    <row r="60" spans="1:18" ht="18">
      <c r="A60" s="232"/>
      <c r="B60" s="241" t="s">
        <v>415</v>
      </c>
      <c r="C60" s="232"/>
      <c r="D60" s="232"/>
      <c r="E60" s="232"/>
      <c r="F60" s="232"/>
      <c r="G60" s="232"/>
      <c r="H60" s="232"/>
      <c r="I60" s="232"/>
      <c r="J60" s="232"/>
      <c r="K60" s="232"/>
      <c r="L60" s="232"/>
      <c r="M60" s="232"/>
      <c r="N60" s="232"/>
      <c r="O60" s="232"/>
      <c r="P60" s="232"/>
      <c r="Q60" s="232"/>
      <c r="R60" s="232"/>
    </row>
    <row r="61" spans="1:18" ht="18">
      <c r="A61" s="232"/>
      <c r="B61" s="238" t="s">
        <v>421</v>
      </c>
      <c r="C61" s="232"/>
      <c r="D61" s="232"/>
      <c r="E61" s="232"/>
      <c r="F61" s="232"/>
      <c r="G61" s="232"/>
      <c r="H61" s="232"/>
      <c r="I61" s="232"/>
      <c r="J61" s="232"/>
      <c r="K61" s="232"/>
      <c r="L61" s="232"/>
      <c r="M61" s="232"/>
      <c r="N61" s="232"/>
      <c r="O61" s="232"/>
      <c r="P61" s="232"/>
      <c r="Q61" s="232"/>
      <c r="R61" s="232"/>
    </row>
    <row r="62" spans="1:18" ht="12.75">
      <c r="A62" s="232"/>
      <c r="B62" s="232"/>
      <c r="C62" s="232"/>
      <c r="D62" s="232"/>
      <c r="E62" s="232"/>
      <c r="F62" s="232"/>
      <c r="G62" s="232"/>
      <c r="H62" s="232"/>
      <c r="I62" s="232"/>
      <c r="J62" s="232"/>
      <c r="K62" s="232"/>
      <c r="L62" s="232"/>
      <c r="M62" s="232"/>
      <c r="N62" s="232"/>
      <c r="O62" s="232"/>
      <c r="P62" s="232"/>
      <c r="Q62" s="232"/>
      <c r="R62" s="232"/>
    </row>
    <row r="63" spans="1:18" ht="12">
      <c r="A63" s="232"/>
      <c r="B63" s="232"/>
      <c r="C63" s="232"/>
      <c r="D63" s="232"/>
      <c r="E63" s="232"/>
      <c r="F63" s="232"/>
      <c r="G63" s="232"/>
      <c r="H63" s="232"/>
      <c r="I63" s="232"/>
      <c r="J63" s="232"/>
      <c r="K63" s="232"/>
      <c r="L63" s="232"/>
      <c r="M63" s="232"/>
      <c r="N63" s="232"/>
      <c r="O63" s="232"/>
      <c r="P63" s="232"/>
      <c r="Q63" s="232"/>
      <c r="R63" s="232"/>
    </row>
    <row r="64" spans="1:18" ht="12">
      <c r="A64" s="232"/>
      <c r="B64" s="232"/>
      <c r="C64" s="232"/>
      <c r="D64" s="232"/>
      <c r="E64" s="232"/>
      <c r="F64" s="232"/>
      <c r="G64" s="232"/>
      <c r="H64" s="232"/>
      <c r="I64" s="232"/>
      <c r="J64" s="232"/>
      <c r="K64" s="232"/>
      <c r="L64" s="232"/>
      <c r="M64" s="232"/>
      <c r="N64" s="232"/>
      <c r="O64" s="232"/>
      <c r="P64" s="232"/>
      <c r="Q64" s="232"/>
      <c r="R64" s="232"/>
    </row>
    <row r="65" spans="1:18" ht="12">
      <c r="A65" s="232"/>
      <c r="B65" s="232"/>
      <c r="C65" s="232"/>
      <c r="D65" s="232"/>
      <c r="E65" s="232"/>
      <c r="F65" s="232"/>
      <c r="G65" s="232"/>
      <c r="H65" s="232"/>
      <c r="I65" s="232"/>
      <c r="J65" s="232"/>
      <c r="K65" s="232"/>
      <c r="L65" s="232"/>
      <c r="M65" s="232"/>
      <c r="N65" s="232"/>
      <c r="O65" s="232"/>
      <c r="P65" s="232"/>
      <c r="Q65" s="232"/>
      <c r="R65" s="232"/>
    </row>
    <row r="66" spans="1:18" ht="12">
      <c r="A66" s="232"/>
      <c r="B66" s="232"/>
      <c r="C66" s="232"/>
      <c r="D66" s="232"/>
      <c r="E66" s="232"/>
      <c r="F66" s="232"/>
      <c r="G66" s="232"/>
      <c r="H66" s="232"/>
      <c r="I66" s="232"/>
      <c r="J66" s="232"/>
      <c r="K66" s="232"/>
      <c r="L66" s="232"/>
      <c r="M66" s="232"/>
      <c r="N66" s="232"/>
      <c r="O66" s="232"/>
      <c r="P66" s="232"/>
      <c r="Q66" s="232"/>
      <c r="R66" s="232"/>
    </row>
    <row r="67" spans="1:18" ht="12">
      <c r="A67" s="232"/>
      <c r="B67" s="232"/>
      <c r="C67" s="232"/>
      <c r="D67" s="232"/>
      <c r="E67" s="232"/>
      <c r="F67" s="232"/>
      <c r="G67" s="232"/>
      <c r="H67" s="232"/>
      <c r="I67" s="232"/>
      <c r="J67" s="232"/>
      <c r="K67" s="232"/>
      <c r="L67" s="232"/>
      <c r="M67" s="232"/>
      <c r="N67" s="232"/>
      <c r="O67" s="232"/>
      <c r="P67" s="232"/>
      <c r="Q67" s="232"/>
      <c r="R67" s="232"/>
    </row>
    <row r="68" spans="1:18" ht="12">
      <c r="A68" s="232"/>
      <c r="B68" s="232"/>
      <c r="C68" s="232"/>
      <c r="D68" s="232"/>
      <c r="E68" s="232"/>
      <c r="F68" s="232"/>
      <c r="G68" s="232"/>
      <c r="H68" s="232"/>
      <c r="I68" s="232"/>
      <c r="J68" s="232"/>
      <c r="K68" s="232"/>
      <c r="L68" s="232"/>
      <c r="M68" s="232"/>
      <c r="N68" s="232"/>
      <c r="O68" s="232"/>
      <c r="P68" s="232"/>
      <c r="Q68" s="232"/>
      <c r="R68" s="232"/>
    </row>
    <row r="69" spans="1:18" ht="12">
      <c r="A69" s="232"/>
      <c r="B69" s="232"/>
      <c r="C69" s="232"/>
      <c r="D69" s="232"/>
      <c r="E69" s="232"/>
      <c r="F69" s="232"/>
      <c r="G69" s="232"/>
      <c r="H69" s="232"/>
      <c r="I69" s="232"/>
      <c r="J69" s="232"/>
      <c r="K69" s="232"/>
      <c r="L69" s="232"/>
      <c r="M69" s="232"/>
      <c r="N69" s="232"/>
      <c r="O69" s="232"/>
      <c r="P69" s="232"/>
      <c r="Q69" s="232"/>
      <c r="R69" s="232"/>
    </row>
    <row r="70" spans="1:18" ht="12">
      <c r="A70" s="232"/>
      <c r="B70" s="232"/>
      <c r="C70" s="232"/>
      <c r="D70" s="232"/>
      <c r="E70" s="232"/>
      <c r="F70" s="232"/>
      <c r="G70" s="232"/>
      <c r="H70" s="232"/>
      <c r="I70" s="232"/>
      <c r="J70" s="232"/>
      <c r="K70" s="232"/>
      <c r="L70" s="232"/>
      <c r="M70" s="232"/>
      <c r="N70" s="232"/>
      <c r="O70" s="232"/>
      <c r="P70" s="232"/>
      <c r="Q70" s="232"/>
      <c r="R70" s="232"/>
    </row>
    <row r="71" spans="1:18" ht="12">
      <c r="A71" s="232"/>
      <c r="B71" s="232"/>
      <c r="C71" s="232"/>
      <c r="D71" s="232"/>
      <c r="E71" s="232"/>
      <c r="F71" s="232"/>
      <c r="G71" s="232"/>
      <c r="H71" s="232"/>
      <c r="I71" s="232"/>
      <c r="J71" s="232"/>
      <c r="K71" s="232"/>
      <c r="L71" s="232"/>
      <c r="M71" s="232"/>
      <c r="N71" s="232"/>
      <c r="O71" s="232"/>
      <c r="P71" s="232"/>
      <c r="Q71" s="232"/>
      <c r="R71" s="232"/>
    </row>
    <row r="72" spans="1:18" ht="12">
      <c r="A72" s="232"/>
      <c r="B72" s="232"/>
      <c r="C72" s="232"/>
      <c r="D72" s="232"/>
      <c r="E72" s="232"/>
      <c r="F72" s="232"/>
      <c r="G72" s="232"/>
      <c r="H72" s="232"/>
      <c r="I72" s="232"/>
      <c r="J72" s="232"/>
      <c r="K72" s="232"/>
      <c r="L72" s="232"/>
      <c r="M72" s="232"/>
      <c r="N72" s="232"/>
      <c r="O72" s="232"/>
      <c r="P72" s="232"/>
      <c r="Q72" s="232"/>
      <c r="R72" s="232"/>
    </row>
    <row r="73" spans="1:18" ht="12">
      <c r="A73" s="232"/>
      <c r="B73" s="232"/>
      <c r="C73" s="232"/>
      <c r="D73" s="232"/>
      <c r="E73" s="232"/>
      <c r="F73" s="232"/>
      <c r="G73" s="232"/>
      <c r="H73" s="232"/>
      <c r="I73" s="232"/>
      <c r="J73" s="232"/>
      <c r="K73" s="232"/>
      <c r="L73" s="232"/>
      <c r="M73" s="232"/>
      <c r="N73" s="232"/>
      <c r="O73" s="232"/>
      <c r="P73" s="232"/>
      <c r="Q73" s="232"/>
      <c r="R73" s="232"/>
    </row>
    <row r="74" spans="1:18" ht="12">
      <c r="A74" s="232"/>
      <c r="B74" s="232"/>
      <c r="C74" s="232"/>
      <c r="D74" s="232"/>
      <c r="E74" s="232"/>
      <c r="F74" s="232"/>
      <c r="G74" s="232"/>
      <c r="H74" s="232"/>
      <c r="I74" s="232"/>
      <c r="J74" s="232"/>
      <c r="K74" s="232"/>
      <c r="L74" s="232"/>
      <c r="M74" s="232"/>
      <c r="N74" s="232"/>
      <c r="O74" s="232"/>
      <c r="P74" s="232"/>
      <c r="Q74" s="232"/>
      <c r="R74" s="232"/>
    </row>
    <row r="75" spans="1:18" ht="12">
      <c r="A75" s="232"/>
      <c r="B75" s="232"/>
      <c r="C75" s="232"/>
      <c r="D75" s="232"/>
      <c r="E75" s="232"/>
      <c r="F75" s="232"/>
      <c r="G75" s="232"/>
      <c r="H75" s="232"/>
      <c r="I75" s="232"/>
      <c r="J75" s="232"/>
      <c r="K75" s="232"/>
      <c r="L75" s="232"/>
      <c r="M75" s="232"/>
      <c r="N75" s="232"/>
      <c r="O75" s="232"/>
      <c r="P75" s="232"/>
      <c r="Q75" s="232"/>
      <c r="R75" s="232"/>
    </row>
    <row r="76" spans="1:18" ht="12">
      <c r="A76" s="232"/>
      <c r="B76" s="232"/>
      <c r="C76" s="232"/>
      <c r="D76" s="232"/>
      <c r="E76" s="232"/>
      <c r="F76" s="232"/>
      <c r="G76" s="232"/>
      <c r="H76" s="232"/>
      <c r="I76" s="232"/>
      <c r="J76" s="232"/>
      <c r="K76" s="232"/>
      <c r="L76" s="232"/>
      <c r="M76" s="232"/>
      <c r="N76" s="232"/>
      <c r="O76" s="232"/>
      <c r="P76" s="232"/>
      <c r="Q76" s="232"/>
      <c r="R76" s="232"/>
    </row>
    <row r="77" spans="1:18" ht="12">
      <c r="A77" s="232"/>
      <c r="B77" s="232"/>
      <c r="C77" s="232"/>
      <c r="D77" s="232"/>
      <c r="E77" s="232"/>
      <c r="F77" s="232"/>
      <c r="G77" s="232"/>
      <c r="H77" s="232"/>
      <c r="I77" s="232"/>
      <c r="J77" s="232"/>
      <c r="K77" s="232"/>
      <c r="L77" s="232"/>
      <c r="M77" s="232"/>
      <c r="N77" s="232"/>
      <c r="O77" s="232"/>
      <c r="P77" s="232"/>
      <c r="Q77" s="232"/>
      <c r="R77" s="232"/>
    </row>
    <row r="78" spans="1:18" ht="12">
      <c r="A78" s="232"/>
      <c r="B78" s="232"/>
      <c r="C78" s="232"/>
      <c r="D78" s="232"/>
      <c r="E78" s="232"/>
      <c r="F78" s="232"/>
      <c r="G78" s="232"/>
      <c r="H78" s="232"/>
      <c r="I78" s="232"/>
      <c r="J78" s="232"/>
      <c r="K78" s="232"/>
      <c r="L78" s="232"/>
      <c r="M78" s="232"/>
      <c r="N78" s="232"/>
      <c r="O78" s="232"/>
      <c r="P78" s="232"/>
      <c r="Q78" s="232"/>
      <c r="R78" s="232"/>
    </row>
    <row r="79" spans="1:18" ht="12">
      <c r="A79" s="232"/>
      <c r="B79" s="232"/>
      <c r="C79" s="232"/>
      <c r="D79" s="232"/>
      <c r="E79" s="232"/>
      <c r="F79" s="232"/>
      <c r="G79" s="232"/>
      <c r="H79" s="232"/>
      <c r="I79" s="232"/>
      <c r="J79" s="232"/>
      <c r="K79" s="232"/>
      <c r="L79" s="232"/>
      <c r="M79" s="232"/>
      <c r="N79" s="232"/>
      <c r="O79" s="232"/>
      <c r="P79" s="232"/>
      <c r="Q79" s="232"/>
      <c r="R79" s="232"/>
    </row>
    <row r="80" spans="1:18" ht="12">
      <c r="A80" s="232"/>
      <c r="B80" s="232"/>
      <c r="C80" s="232"/>
      <c r="D80" s="232"/>
      <c r="E80" s="232"/>
      <c r="F80" s="232"/>
      <c r="G80" s="232"/>
      <c r="H80" s="232"/>
      <c r="I80" s="232"/>
      <c r="J80" s="232"/>
      <c r="K80" s="232"/>
      <c r="L80" s="232"/>
      <c r="M80" s="232"/>
      <c r="N80" s="232"/>
      <c r="O80" s="232"/>
      <c r="P80" s="232"/>
      <c r="Q80" s="232"/>
      <c r="R80" s="232"/>
    </row>
    <row r="81" spans="1:18" ht="12">
      <c r="A81" s="232"/>
      <c r="B81" s="232"/>
      <c r="C81" s="232"/>
      <c r="D81" s="232"/>
      <c r="E81" s="232"/>
      <c r="F81" s="232"/>
      <c r="G81" s="232"/>
      <c r="H81" s="232"/>
      <c r="I81" s="232"/>
      <c r="J81" s="232"/>
      <c r="K81" s="232"/>
      <c r="L81" s="232"/>
      <c r="M81" s="232"/>
      <c r="N81" s="232"/>
      <c r="O81" s="232"/>
      <c r="P81" s="232"/>
      <c r="Q81" s="232"/>
      <c r="R81" s="232"/>
    </row>
    <row r="82" spans="1:18" ht="12">
      <c r="A82" s="232"/>
      <c r="B82" s="232"/>
      <c r="C82" s="232"/>
      <c r="D82" s="232"/>
      <c r="E82" s="232"/>
      <c r="F82" s="232"/>
      <c r="G82" s="232"/>
      <c r="H82" s="232"/>
      <c r="I82" s="232"/>
      <c r="J82" s="232"/>
      <c r="K82" s="232"/>
      <c r="L82" s="232"/>
      <c r="M82" s="232"/>
      <c r="N82" s="232"/>
      <c r="O82" s="232"/>
      <c r="P82" s="232"/>
      <c r="Q82" s="232"/>
      <c r="R82" s="232"/>
    </row>
    <row r="83" spans="1:18" ht="12">
      <c r="A83" s="232"/>
      <c r="B83" s="232"/>
      <c r="C83" s="232"/>
      <c r="D83" s="232"/>
      <c r="E83" s="232"/>
      <c r="F83" s="232"/>
      <c r="G83" s="232"/>
      <c r="H83" s="232"/>
      <c r="I83" s="232"/>
      <c r="J83" s="232"/>
      <c r="K83" s="232"/>
      <c r="L83" s="232"/>
      <c r="M83" s="232"/>
      <c r="N83" s="232"/>
      <c r="O83" s="232"/>
      <c r="P83" s="232"/>
      <c r="Q83" s="232"/>
      <c r="R83" s="232"/>
    </row>
    <row r="84" spans="1:18" ht="12">
      <c r="A84" s="232"/>
      <c r="B84" s="232"/>
      <c r="C84" s="232"/>
      <c r="D84" s="232"/>
      <c r="E84" s="232"/>
      <c r="F84" s="232"/>
      <c r="G84" s="232"/>
      <c r="H84" s="232"/>
      <c r="I84" s="232"/>
      <c r="J84" s="232"/>
      <c r="K84" s="232"/>
      <c r="L84" s="232"/>
      <c r="M84" s="232"/>
      <c r="N84" s="232"/>
      <c r="O84" s="232"/>
      <c r="P84" s="232"/>
      <c r="Q84" s="232"/>
      <c r="R84" s="232"/>
    </row>
    <row r="85" spans="1:18" ht="12">
      <c r="A85" s="232"/>
      <c r="B85" s="232"/>
      <c r="C85" s="232"/>
      <c r="D85" s="232"/>
      <c r="E85" s="232"/>
      <c r="F85" s="232"/>
      <c r="G85" s="232"/>
      <c r="H85" s="232"/>
      <c r="I85" s="232"/>
      <c r="J85" s="232"/>
      <c r="K85" s="232"/>
      <c r="L85" s="232"/>
      <c r="M85" s="232"/>
      <c r="N85" s="232"/>
      <c r="O85" s="232"/>
      <c r="P85" s="232"/>
      <c r="Q85" s="232"/>
      <c r="R85" s="232"/>
    </row>
    <row r="86" spans="1:18" ht="12">
      <c r="A86" s="232"/>
      <c r="B86" s="232"/>
      <c r="C86" s="232"/>
      <c r="D86" s="232"/>
      <c r="E86" s="232"/>
      <c r="F86" s="232"/>
      <c r="G86" s="232"/>
      <c r="H86" s="232"/>
      <c r="I86" s="232"/>
      <c r="J86" s="232"/>
      <c r="K86" s="232"/>
      <c r="L86" s="232"/>
      <c r="M86" s="232"/>
      <c r="N86" s="232"/>
      <c r="O86" s="232"/>
      <c r="P86" s="232"/>
      <c r="Q86" s="232"/>
      <c r="R86" s="232"/>
    </row>
  </sheetData>
  <sheetProtection/>
  <hyperlinks>
    <hyperlink ref="K15" r:id="rId1" display="betz@msu.edu"/>
    <hyperlink ref="K16" r:id="rId2" display="fernan15@msu.edu"/>
    <hyperlink ref="K17" r:id="rId3" display="dudek@msu.edu"/>
  </hyperlinks>
  <printOptions/>
  <pageMargins left="0.75" right="0.75" top="1" bottom="1" header="0.5" footer="0.5"/>
  <pageSetup horizontalDpi="600" verticalDpi="600" orientation="portrait"/>
  <drawing r:id="rId6"/>
  <legacyDrawing r:id="rId5"/>
</worksheet>
</file>

<file path=xl/worksheets/sheet10.xml><?xml version="1.0" encoding="utf-8"?>
<worksheet xmlns="http://schemas.openxmlformats.org/spreadsheetml/2006/main" xmlns:r="http://schemas.openxmlformats.org/officeDocument/2006/relationships">
  <dimension ref="A1:AU45"/>
  <sheetViews>
    <sheetView zoomScale="150" zoomScaleNormal="150" workbookViewId="0" topLeftCell="A1">
      <pane xSplit="3" ySplit="3" topLeftCell="D4" activePane="bottomRight" state="frozen"/>
      <selection pane="topLeft" activeCell="A1" sqref="A1"/>
      <selection pane="topRight" activeCell="D1" sqref="D1"/>
      <selection pane="bottomLeft" activeCell="A3" sqref="A3"/>
      <selection pane="bottomRight" activeCell="A1" sqref="A1"/>
    </sheetView>
  </sheetViews>
  <sheetFormatPr defaultColWidth="8.8515625" defaultRowHeight="12.75"/>
  <cols>
    <col min="1" max="1" width="2.8515625" style="0" customWidth="1"/>
    <col min="2" max="2" width="48.00390625" style="0" customWidth="1"/>
    <col min="3" max="3" width="2.7109375" style="0" customWidth="1"/>
    <col min="4" max="28" width="13.421875" style="0" customWidth="1"/>
  </cols>
  <sheetData>
    <row r="1" spans="2:4" ht="16.5">
      <c r="B1" s="164" t="s">
        <v>420</v>
      </c>
      <c r="D1" s="255">
        <f>'1 Enterprises'!D3</f>
        <v>2009</v>
      </c>
    </row>
    <row r="2" ht="12">
      <c r="B2" s="211" t="str">
        <f>'1 Enterprises'!B3</f>
        <v>T and R Whole Sale Nursery</v>
      </c>
    </row>
    <row r="3" spans="1:28" s="41" customFormat="1" ht="24.75" thickBot="1">
      <c r="A3" s="39"/>
      <c r="B3" s="70" t="s">
        <v>99</v>
      </c>
      <c r="C3" s="40"/>
      <c r="D3" s="54" t="str">
        <f>'8 Cost of Production'!D34</f>
        <v>Container Crop 1</v>
      </c>
      <c r="E3" s="54" t="str">
        <f>'8 Cost of Production'!E34</f>
        <v>Container Crop 2</v>
      </c>
      <c r="F3" s="54" t="str">
        <f>'8 Cost of Production'!F34</f>
        <v>Container Crop 3</v>
      </c>
      <c r="G3" s="54" t="str">
        <f>'8 Cost of Production'!G34</f>
        <v>Container Crop 4</v>
      </c>
      <c r="H3" s="54" t="str">
        <f>'8 Cost of Production'!H34</f>
        <v>Container Crop 5</v>
      </c>
      <c r="I3" s="54" t="str">
        <f>'8 Cost of Production'!I34</f>
        <v>Container Crop 6</v>
      </c>
      <c r="J3" s="54" t="str">
        <f>'8 Cost of Production'!J34</f>
        <v>Container Crop 7</v>
      </c>
      <c r="K3" s="54" t="str">
        <f>'8 Cost of Production'!K34</f>
        <v>Container Crop 8</v>
      </c>
      <c r="L3" s="54" t="str">
        <f>'8 Cost of Production'!L34</f>
        <v>Container Crop 9</v>
      </c>
      <c r="M3" s="54" t="str">
        <f>'8 Cost of Production'!M34</f>
        <v>Field Crop 1</v>
      </c>
      <c r="N3" s="54" t="str">
        <f>'8 Cost of Production'!N34</f>
        <v>Field Crop 2</v>
      </c>
      <c r="O3" s="54" t="str">
        <f>'8 Cost of Production'!O34</f>
        <v>Field Crop 3</v>
      </c>
      <c r="P3" s="54" t="str">
        <f>'8 Cost of Production'!P34</f>
        <v>Container Crop 10</v>
      </c>
      <c r="Q3" s="54" t="str">
        <f>'8 Cost of Production'!Q34</f>
        <v>Container Crop 11</v>
      </c>
      <c r="R3" s="54" t="str">
        <f>'8 Cost of Production'!R34</f>
        <v>Container Crop 12</v>
      </c>
      <c r="S3" s="54" t="str">
        <f>'8 Cost of Production'!S34</f>
        <v>Container Crop 13</v>
      </c>
      <c r="T3" s="54" t="str">
        <f>'8 Cost of Production'!T34</f>
        <v>Container Crop 14</v>
      </c>
      <c r="U3" s="54" t="str">
        <f>'8 Cost of Production'!U34</f>
        <v>Container Crop 15</v>
      </c>
      <c r="V3" s="54" t="str">
        <f>'8 Cost of Production'!V34</f>
        <v>Container Crop 16</v>
      </c>
      <c r="W3" s="54" t="str">
        <f>'8 Cost of Production'!W34</f>
        <v>Container Crop 17</v>
      </c>
      <c r="X3" s="54" t="str">
        <f>'8 Cost of Production'!X34</f>
        <v>Container Crop 18</v>
      </c>
      <c r="Y3" s="54" t="str">
        <f>'8 Cost of Production'!Y34</f>
        <v>Field Crop 4</v>
      </c>
      <c r="Z3" s="54" t="str">
        <f>'8 Cost of Production'!Z34</f>
        <v>Field Crop 5</v>
      </c>
      <c r="AA3" s="54" t="str">
        <f>'8 Cost of Production'!AA34</f>
        <v>Field Crop 6</v>
      </c>
      <c r="AB3" s="54" t="str">
        <f>'8 Cost of Production'!AB34</f>
        <v>Field Crop 7</v>
      </c>
    </row>
    <row r="4" spans="1:28" s="41" customFormat="1" ht="12.75">
      <c r="A4" s="39"/>
      <c r="B4" s="71" t="s">
        <v>2</v>
      </c>
      <c r="C4" s="40"/>
      <c r="D4" s="50">
        <f>'1 Enterprises'!D16</f>
        <v>45000</v>
      </c>
      <c r="E4" s="50">
        <f>'1 Enterprises'!E16</f>
        <v>17850</v>
      </c>
      <c r="F4" s="50">
        <f>'1 Enterprises'!F16</f>
        <v>11200</v>
      </c>
      <c r="G4" s="50">
        <f>'1 Enterprises'!G16</f>
        <v>62280</v>
      </c>
      <c r="H4" s="50">
        <f>'1 Enterprises'!H16</f>
        <v>24140</v>
      </c>
      <c r="I4" s="50">
        <f>'1 Enterprises'!I16</f>
        <v>13840</v>
      </c>
      <c r="J4" s="50">
        <f>'1 Enterprises'!J16</f>
        <v>29520</v>
      </c>
      <c r="K4" s="50">
        <f>'1 Enterprises'!K16</f>
        <v>13404.5</v>
      </c>
      <c r="L4" s="50">
        <f>'1 Enterprises'!L16</f>
        <v>24480</v>
      </c>
      <c r="M4" s="50">
        <f>'1 Enterprises'!M16</f>
        <v>850</v>
      </c>
      <c r="N4" s="50">
        <f>'1 Enterprises'!N16</f>
        <v>1020</v>
      </c>
      <c r="O4" s="50">
        <f>'1 Enterprises'!O16</f>
        <v>1275</v>
      </c>
      <c r="P4" s="50">
        <f>'1 Enterprises'!P16</f>
        <v>0</v>
      </c>
      <c r="Q4" s="50">
        <f>'1 Enterprises'!Q16</f>
        <v>0</v>
      </c>
      <c r="R4" s="50">
        <f>'1 Enterprises'!R16</f>
        <v>0</v>
      </c>
      <c r="S4" s="50">
        <f>'1 Enterprises'!S16</f>
        <v>0</v>
      </c>
      <c r="T4" s="50">
        <f>'1 Enterprises'!T16</f>
        <v>0</v>
      </c>
      <c r="U4" s="50">
        <f>'1 Enterprises'!U16</f>
        <v>0</v>
      </c>
      <c r="V4" s="50">
        <f>'1 Enterprises'!V16</f>
        <v>0</v>
      </c>
      <c r="W4" s="50">
        <f>'1 Enterprises'!W16</f>
        <v>0</v>
      </c>
      <c r="X4" s="50">
        <f>'1 Enterprises'!X16</f>
        <v>0</v>
      </c>
      <c r="Y4" s="50">
        <f>'1 Enterprises'!Y16</f>
        <v>0</v>
      </c>
      <c r="Z4" s="50">
        <f>'1 Enterprises'!Z16</f>
        <v>0</v>
      </c>
      <c r="AA4" s="50">
        <f>'1 Enterprises'!AA16</f>
        <v>0</v>
      </c>
      <c r="AB4" s="50">
        <f>'1 Enterprises'!AB16</f>
        <v>0</v>
      </c>
    </row>
    <row r="5" spans="1:28" s="34" customFormat="1" ht="12.75">
      <c r="A5" s="32"/>
      <c r="B5" s="72" t="s">
        <v>38</v>
      </c>
      <c r="C5" s="33"/>
      <c r="D5" s="75">
        <f>'1 Enterprises'!D15</f>
        <v>0.9</v>
      </c>
      <c r="E5" s="75">
        <f>'1 Enterprises'!E15</f>
        <v>0.85</v>
      </c>
      <c r="F5" s="75">
        <f>'1 Enterprises'!F15</f>
        <v>0.8</v>
      </c>
      <c r="G5" s="75">
        <f>'1 Enterprises'!G15</f>
        <v>0.9</v>
      </c>
      <c r="H5" s="75">
        <f>'1 Enterprises'!H15</f>
        <v>0.85</v>
      </c>
      <c r="I5" s="75">
        <f>'1 Enterprises'!I15</f>
        <v>0.8</v>
      </c>
      <c r="J5" s="75">
        <f>'1 Enterprises'!J15</f>
        <v>0.9</v>
      </c>
      <c r="K5" s="75">
        <f>'1 Enterprises'!K15</f>
        <v>0.85</v>
      </c>
      <c r="L5" s="75">
        <f>'1 Enterprises'!L15</f>
        <v>0.8</v>
      </c>
      <c r="M5" s="75">
        <f>'1 Enterprises'!M15</f>
        <v>0.85</v>
      </c>
      <c r="N5" s="75">
        <f>'1 Enterprises'!N15</f>
        <v>0.85</v>
      </c>
      <c r="O5" s="75">
        <f>'1 Enterprises'!O15</f>
        <v>0.85</v>
      </c>
      <c r="P5" s="75">
        <f>'1 Enterprises'!P15</f>
        <v>0.85</v>
      </c>
      <c r="Q5" s="75">
        <f>'1 Enterprises'!Q15</f>
        <v>0.85</v>
      </c>
      <c r="R5" s="75">
        <f>'1 Enterprises'!R15</f>
        <v>0.85</v>
      </c>
      <c r="S5" s="75">
        <f>'1 Enterprises'!S15</f>
        <v>0.85</v>
      </c>
      <c r="T5" s="75">
        <f>'1 Enterprises'!T15</f>
        <v>0.85</v>
      </c>
      <c r="U5" s="75">
        <f>'1 Enterprises'!U15</f>
        <v>0.85</v>
      </c>
      <c r="V5" s="75">
        <f>'1 Enterprises'!V15</f>
        <v>0.85</v>
      </c>
      <c r="W5" s="75">
        <f>'1 Enterprises'!W15</f>
        <v>0.85</v>
      </c>
      <c r="X5" s="75">
        <f>'1 Enterprises'!X15</f>
        <v>0.85</v>
      </c>
      <c r="Y5" s="75">
        <f>'1 Enterprises'!Y15</f>
        <v>0.85</v>
      </c>
      <c r="Z5" s="75">
        <f>'1 Enterprises'!Z15</f>
        <v>0.85</v>
      </c>
      <c r="AA5" s="75">
        <f>'1 Enterprises'!AA15</f>
        <v>0.85</v>
      </c>
      <c r="AB5" s="75">
        <f>'1 Enterprises'!AB15</f>
        <v>0.85</v>
      </c>
    </row>
    <row r="6" spans="1:28" ht="12.75">
      <c r="A6" s="31"/>
      <c r="B6" s="69" t="s">
        <v>313</v>
      </c>
      <c r="D6" s="12">
        <f>'1 Enterprises'!D17</f>
        <v>3.15</v>
      </c>
      <c r="E6" s="12">
        <f>'1 Enterprises'!E17</f>
        <v>8.75</v>
      </c>
      <c r="F6" s="12">
        <f>'1 Enterprises'!F17</f>
        <v>22</v>
      </c>
      <c r="G6" s="12">
        <f>'1 Enterprises'!G17</f>
        <v>4.05</v>
      </c>
      <c r="H6" s="12">
        <f>'1 Enterprises'!H17</f>
        <v>9.35</v>
      </c>
      <c r="I6" s="12">
        <f>'1 Enterprises'!I17</f>
        <v>23</v>
      </c>
      <c r="J6" s="12">
        <f>'1 Enterprises'!J17</f>
        <v>4.5</v>
      </c>
      <c r="K6" s="12">
        <f>'1 Enterprises'!K17</f>
        <v>9.75</v>
      </c>
      <c r="L6" s="12">
        <f>'1 Enterprises'!L17</f>
        <v>25</v>
      </c>
      <c r="M6" s="12">
        <f>'1 Enterprises'!M17</f>
        <v>85</v>
      </c>
      <c r="N6" s="12">
        <f>'1 Enterprises'!N17</f>
        <v>95</v>
      </c>
      <c r="O6" s="12">
        <f>'1 Enterprises'!O17</f>
        <v>100</v>
      </c>
      <c r="P6" s="12">
        <f>'1 Enterprises'!P17</f>
        <v>3.15</v>
      </c>
      <c r="Q6" s="12">
        <f>'1 Enterprises'!Q17</f>
        <v>8.75</v>
      </c>
      <c r="R6" s="12">
        <f>'1 Enterprises'!R17</f>
        <v>22</v>
      </c>
      <c r="S6" s="12">
        <f>'1 Enterprises'!S17</f>
        <v>4.05</v>
      </c>
      <c r="T6" s="12">
        <f>'1 Enterprises'!T17</f>
        <v>9.35</v>
      </c>
      <c r="U6" s="12">
        <f>'1 Enterprises'!U17</f>
        <v>23</v>
      </c>
      <c r="V6" s="12">
        <f>'1 Enterprises'!V17</f>
        <v>4.5</v>
      </c>
      <c r="W6" s="12">
        <f>'1 Enterprises'!W17</f>
        <v>9.75</v>
      </c>
      <c r="X6" s="12">
        <f>'1 Enterprises'!X17</f>
        <v>25</v>
      </c>
      <c r="Y6" s="12">
        <f>'1 Enterprises'!Y17</f>
        <v>85</v>
      </c>
      <c r="Z6" s="12">
        <f>'1 Enterprises'!Z17</f>
        <v>95</v>
      </c>
      <c r="AA6" s="12">
        <f>'1 Enterprises'!AA17</f>
        <v>100</v>
      </c>
      <c r="AB6" s="12">
        <f>'1 Enterprises'!AB17</f>
        <v>100</v>
      </c>
    </row>
    <row r="7" spans="1:28" s="34" customFormat="1" ht="12.75">
      <c r="A7" s="32"/>
      <c r="B7" s="72"/>
      <c r="C7" s="33"/>
      <c r="D7" s="75"/>
      <c r="E7" s="75"/>
      <c r="F7" s="75"/>
      <c r="G7" s="75"/>
      <c r="H7" s="75"/>
      <c r="I7" s="75"/>
      <c r="J7" s="75"/>
      <c r="K7" s="75"/>
      <c r="L7" s="75"/>
      <c r="M7" s="75"/>
      <c r="N7" s="75"/>
      <c r="O7" s="75"/>
      <c r="P7" s="75"/>
      <c r="Q7" s="75"/>
      <c r="R7" s="75"/>
      <c r="S7" s="75"/>
      <c r="T7" s="75"/>
      <c r="U7" s="75"/>
      <c r="V7" s="75"/>
      <c r="W7" s="75"/>
      <c r="X7" s="75"/>
      <c r="Y7" s="75"/>
      <c r="Z7" s="75"/>
      <c r="AA7" s="75"/>
      <c r="AB7" s="75"/>
    </row>
    <row r="8" spans="1:28" s="227" customFormat="1" ht="16.5">
      <c r="A8" s="164"/>
      <c r="B8" s="262" t="str">
        <f>'8 Cost of Production'!B84</f>
        <v>Total Economic Cost per plant sold</v>
      </c>
      <c r="C8" s="263"/>
      <c r="D8" s="263">
        <f>'8 Cost of Production'!D84</f>
        <v>3.1989938766817296</v>
      </c>
      <c r="E8" s="263">
        <f>'8 Cost of Production'!E84</f>
        <v>9.279452048411857</v>
      </c>
      <c r="F8" s="263">
        <f>'8 Cost of Production'!F84</f>
        <v>25.128563115862967</v>
      </c>
      <c r="G8" s="263">
        <f>'8 Cost of Production'!G84</f>
        <v>3.645800781443634</v>
      </c>
      <c r="H8" s="263">
        <f>'8 Cost of Production'!H84</f>
        <v>9.567402283705974</v>
      </c>
      <c r="I8" s="263">
        <f>'8 Cost of Production'!I84</f>
        <v>25.969415973005816</v>
      </c>
      <c r="J8" s="263">
        <f>'8 Cost of Production'!J84</f>
        <v>4.298281833030936</v>
      </c>
      <c r="K8" s="263">
        <f>'8 Cost of Production'!K84</f>
        <v>9.887638166058915</v>
      </c>
      <c r="L8" s="263">
        <f>'8 Cost of Production'!L84</f>
        <v>27.230695258720104</v>
      </c>
      <c r="M8" s="263">
        <f>'8 Cost of Production'!M84</f>
        <v>97.71822925964909</v>
      </c>
      <c r="N8" s="263">
        <f>'8 Cost of Production'!N84</f>
        <v>98.41308220082556</v>
      </c>
      <c r="O8" s="263">
        <f>'8 Cost of Production'!O84</f>
        <v>99.45536161259027</v>
      </c>
      <c r="P8" s="263">
        <f>'8 Cost of Production'!P84</f>
        <v>0</v>
      </c>
      <c r="Q8" s="263">
        <f>'8 Cost of Production'!Q84</f>
        <v>0</v>
      </c>
      <c r="R8" s="263">
        <f>'8 Cost of Production'!R84</f>
        <v>0</v>
      </c>
      <c r="S8" s="263">
        <f>'8 Cost of Production'!S84</f>
        <v>0</v>
      </c>
      <c r="T8" s="263">
        <f>'8 Cost of Production'!T84</f>
        <v>0</v>
      </c>
      <c r="U8" s="263">
        <f>'8 Cost of Production'!U84</f>
        <v>0</v>
      </c>
      <c r="V8" s="263">
        <f>'8 Cost of Production'!V84</f>
        <v>0</v>
      </c>
      <c r="W8" s="263">
        <f>'8 Cost of Production'!W84</f>
        <v>0</v>
      </c>
      <c r="X8" s="263">
        <f>'8 Cost of Production'!X84</f>
        <v>0</v>
      </c>
      <c r="Y8" s="263">
        <f>'8 Cost of Production'!Y84</f>
        <v>0</v>
      </c>
      <c r="Z8" s="263">
        <f>'8 Cost of Production'!Z84</f>
        <v>0</v>
      </c>
      <c r="AA8" s="263">
        <f>'8 Cost of Production'!AA84</f>
        <v>0</v>
      </c>
      <c r="AB8" s="263">
        <f>'8 Cost of Production'!AB84</f>
        <v>0</v>
      </c>
    </row>
    <row r="9" spans="1:28" s="44" customFormat="1" ht="12.75">
      <c r="A9" s="16"/>
      <c r="B9" s="69" t="s">
        <v>314</v>
      </c>
      <c r="C9" s="12"/>
      <c r="D9" s="55">
        <f>D6-D8</f>
        <v>-0.04899387668172972</v>
      </c>
      <c r="E9" s="55">
        <f aca="true" t="shared" si="0" ref="E9:O9">E6-E8</f>
        <v>-0.5294520484118568</v>
      </c>
      <c r="F9" s="55">
        <f t="shared" si="0"/>
        <v>-3.128563115862967</v>
      </c>
      <c r="G9" s="55">
        <f t="shared" si="0"/>
        <v>0.40419921855636565</v>
      </c>
      <c r="H9" s="55">
        <f t="shared" si="0"/>
        <v>-0.21740228370597414</v>
      </c>
      <c r="I9" s="55">
        <f t="shared" si="0"/>
        <v>-2.969415973005816</v>
      </c>
      <c r="J9" s="55">
        <f t="shared" si="0"/>
        <v>0.20171816696906397</v>
      </c>
      <c r="K9" s="55">
        <f t="shared" si="0"/>
        <v>-0.137638166058915</v>
      </c>
      <c r="L9" s="55">
        <f t="shared" si="0"/>
        <v>-2.230695258720104</v>
      </c>
      <c r="M9" s="55">
        <f t="shared" si="0"/>
        <v>-12.718229259649092</v>
      </c>
      <c r="N9" s="55">
        <f t="shared" si="0"/>
        <v>-3.4130822008255564</v>
      </c>
      <c r="O9" s="55">
        <f t="shared" si="0"/>
        <v>0.5446383874097336</v>
      </c>
      <c r="P9" s="55">
        <f aca="true" t="shared" si="1" ref="P9:AB9">P6-P8</f>
        <v>3.15</v>
      </c>
      <c r="Q9" s="55">
        <f t="shared" si="1"/>
        <v>8.75</v>
      </c>
      <c r="R9" s="55">
        <f t="shared" si="1"/>
        <v>22</v>
      </c>
      <c r="S9" s="55">
        <f t="shared" si="1"/>
        <v>4.05</v>
      </c>
      <c r="T9" s="55">
        <f t="shared" si="1"/>
        <v>9.35</v>
      </c>
      <c r="U9" s="55">
        <f t="shared" si="1"/>
        <v>23</v>
      </c>
      <c r="V9" s="55">
        <f t="shared" si="1"/>
        <v>4.5</v>
      </c>
      <c r="W9" s="55">
        <f t="shared" si="1"/>
        <v>9.75</v>
      </c>
      <c r="X9" s="55">
        <f t="shared" si="1"/>
        <v>25</v>
      </c>
      <c r="Y9" s="55">
        <f t="shared" si="1"/>
        <v>85</v>
      </c>
      <c r="Z9" s="55">
        <f t="shared" si="1"/>
        <v>95</v>
      </c>
      <c r="AA9" s="55">
        <f t="shared" si="1"/>
        <v>100</v>
      </c>
      <c r="AB9" s="55">
        <f t="shared" si="1"/>
        <v>100</v>
      </c>
    </row>
    <row r="10" spans="1:28" s="23" customFormat="1" ht="12.75">
      <c r="A10" s="31"/>
      <c r="B10" s="69" t="s">
        <v>37</v>
      </c>
      <c r="C10" s="7"/>
      <c r="D10" s="86">
        <f>D9*D4</f>
        <v>-2204.7244506778375</v>
      </c>
      <c r="E10" s="86">
        <f aca="true" t="shared" si="2" ref="E10:O10">E9*E4</f>
        <v>-9450.719064151643</v>
      </c>
      <c r="F10" s="86">
        <f t="shared" si="2"/>
        <v>-35039.90689766523</v>
      </c>
      <c r="G10" s="86">
        <f t="shared" si="2"/>
        <v>25173.527331690453</v>
      </c>
      <c r="H10" s="86">
        <f t="shared" si="2"/>
        <v>-5248.091128662216</v>
      </c>
      <c r="I10" s="86">
        <f t="shared" si="2"/>
        <v>-41096.717066400495</v>
      </c>
      <c r="J10" s="86">
        <f t="shared" si="2"/>
        <v>5954.720288926768</v>
      </c>
      <c r="K10" s="86">
        <f t="shared" si="2"/>
        <v>-1844.970796936726</v>
      </c>
      <c r="L10" s="86">
        <f t="shared" si="2"/>
        <v>-54607.41993346814</v>
      </c>
      <c r="M10" s="86">
        <f t="shared" si="2"/>
        <v>-10810.494870701728</v>
      </c>
      <c r="N10" s="86">
        <f t="shared" si="2"/>
        <v>-3481.3438448420675</v>
      </c>
      <c r="O10" s="86">
        <f t="shared" si="2"/>
        <v>694.4139439474103</v>
      </c>
      <c r="P10" s="86">
        <f aca="true" t="shared" si="3" ref="P10:AB10">P9*P4</f>
        <v>0</v>
      </c>
      <c r="Q10" s="86">
        <f t="shared" si="3"/>
        <v>0</v>
      </c>
      <c r="R10" s="86">
        <f t="shared" si="3"/>
        <v>0</v>
      </c>
      <c r="S10" s="86">
        <f t="shared" si="3"/>
        <v>0</v>
      </c>
      <c r="T10" s="86">
        <f t="shared" si="3"/>
        <v>0</v>
      </c>
      <c r="U10" s="86">
        <f t="shared" si="3"/>
        <v>0</v>
      </c>
      <c r="V10" s="86">
        <f t="shared" si="3"/>
        <v>0</v>
      </c>
      <c r="W10" s="86">
        <f t="shared" si="3"/>
        <v>0</v>
      </c>
      <c r="X10" s="86">
        <f t="shared" si="3"/>
        <v>0</v>
      </c>
      <c r="Y10" s="86">
        <f t="shared" si="3"/>
        <v>0</v>
      </c>
      <c r="Z10" s="86">
        <f t="shared" si="3"/>
        <v>0</v>
      </c>
      <c r="AA10" s="86">
        <f t="shared" si="3"/>
        <v>0</v>
      </c>
      <c r="AB10" s="86">
        <f t="shared" si="3"/>
        <v>0</v>
      </c>
    </row>
    <row r="11" spans="1:28" s="44" customFormat="1" ht="13.5" thickBot="1">
      <c r="A11" s="16"/>
      <c r="B11" s="69" t="s">
        <v>41</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s="44" customFormat="1" ht="13.5" thickBot="1">
      <c r="A12" s="16"/>
      <c r="B12" s="287">
        <f>SUM(D10:AB10)</f>
        <v>-131961.72648894147</v>
      </c>
      <c r="C12" s="288"/>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s="44" customFormat="1" ht="12.75">
      <c r="A13" s="16"/>
      <c r="B13" s="257"/>
      <c r="C13" s="258"/>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s="227" customFormat="1" ht="16.5">
      <c r="A14" s="164"/>
      <c r="B14" s="264" t="str">
        <f>'8 Cost of Production'!B100</f>
        <v>Maintain Net Worth per plant sold</v>
      </c>
      <c r="C14" s="263"/>
      <c r="D14" s="263">
        <f>'8 Cost of Production'!D100</f>
        <v>2.978821198837713</v>
      </c>
      <c r="E14" s="263">
        <f>'8 Cost of Production'!E100</f>
        <v>8.364041117008334</v>
      </c>
      <c r="F14" s="263">
        <f>'8 Cost of Production'!F100</f>
        <v>22.62409419278715</v>
      </c>
      <c r="G14" s="263">
        <f>'8 Cost of Production'!G100</f>
        <v>3.4256281035996174</v>
      </c>
      <c r="H14" s="263">
        <f>'8 Cost of Production'!H100</f>
        <v>8.65199135230245</v>
      </c>
      <c r="I14" s="263">
        <f>'8 Cost of Production'!I100</f>
        <v>23.464947049930004</v>
      </c>
      <c r="J14" s="263">
        <f>'8 Cost of Production'!J100</f>
        <v>4.07810915518692</v>
      </c>
      <c r="K14" s="263">
        <f>'8 Cost of Production'!K100</f>
        <v>8.972227234655392</v>
      </c>
      <c r="L14" s="263">
        <f>'8 Cost of Production'!L100</f>
        <v>24.726226335644288</v>
      </c>
      <c r="M14" s="263">
        <f>'8 Cost of Production'!M100</f>
        <v>82.09013839777575</v>
      </c>
      <c r="N14" s="263">
        <f>'8 Cost of Production'!N100</f>
        <v>82.78499133895221</v>
      </c>
      <c r="O14" s="263">
        <f>'8 Cost of Production'!O100</f>
        <v>83.82727075071692</v>
      </c>
      <c r="P14" s="263">
        <f>'8 Cost of Production'!P100</f>
        <v>0</v>
      </c>
      <c r="Q14" s="263">
        <f>'8 Cost of Production'!Q100</f>
        <v>0</v>
      </c>
      <c r="R14" s="263">
        <f>'8 Cost of Production'!R100</f>
        <v>0</v>
      </c>
      <c r="S14" s="263">
        <f>'8 Cost of Production'!S100</f>
        <v>0</v>
      </c>
      <c r="T14" s="263">
        <f>'8 Cost of Production'!T100</f>
        <v>0</v>
      </c>
      <c r="U14" s="263">
        <f>'8 Cost of Production'!U100</f>
        <v>0</v>
      </c>
      <c r="V14" s="263">
        <f>'8 Cost of Production'!V100</f>
        <v>0</v>
      </c>
      <c r="W14" s="263">
        <f>'8 Cost of Production'!W100</f>
        <v>0</v>
      </c>
      <c r="X14" s="263">
        <f>'8 Cost of Production'!X100</f>
        <v>0</v>
      </c>
      <c r="Y14" s="263">
        <f>'8 Cost of Production'!Y100</f>
        <v>0</v>
      </c>
      <c r="Z14" s="263">
        <f>'8 Cost of Production'!Z100</f>
        <v>0</v>
      </c>
      <c r="AA14" s="263">
        <f>'8 Cost of Production'!AA100</f>
        <v>0</v>
      </c>
      <c r="AB14" s="263">
        <f>'8 Cost of Production'!AB100</f>
        <v>0</v>
      </c>
    </row>
    <row r="15" spans="1:28" s="44" customFormat="1" ht="12.75">
      <c r="A15" s="16"/>
      <c r="B15" s="69" t="s">
        <v>162</v>
      </c>
      <c r="C15" s="12"/>
      <c r="D15" s="55">
        <f>D6-D14</f>
        <v>0.171178801162287</v>
      </c>
      <c r="E15" s="55">
        <f aca="true" t="shared" si="4" ref="E15:O15">E6-E14</f>
        <v>0.38595888299166603</v>
      </c>
      <c r="F15" s="55">
        <f t="shared" si="4"/>
        <v>-0.6240941927871511</v>
      </c>
      <c r="G15" s="55">
        <f t="shared" si="4"/>
        <v>0.6243718964003824</v>
      </c>
      <c r="H15" s="55">
        <f t="shared" si="4"/>
        <v>0.6980086476975504</v>
      </c>
      <c r="I15" s="55">
        <f t="shared" si="4"/>
        <v>-0.4649470499300037</v>
      </c>
      <c r="J15" s="55">
        <f t="shared" si="4"/>
        <v>0.42189084481308026</v>
      </c>
      <c r="K15" s="55">
        <f t="shared" si="4"/>
        <v>0.7777727653446078</v>
      </c>
      <c r="L15" s="55">
        <f t="shared" si="4"/>
        <v>0.27377366435571204</v>
      </c>
      <c r="M15" s="55">
        <f t="shared" si="4"/>
        <v>2.909861602224254</v>
      </c>
      <c r="N15" s="55">
        <f t="shared" si="4"/>
        <v>12.21500866104779</v>
      </c>
      <c r="O15" s="55">
        <f t="shared" si="4"/>
        <v>16.17272924928308</v>
      </c>
      <c r="P15" s="55">
        <f aca="true" t="shared" si="5" ref="P15:AB15">P6-P14</f>
        <v>3.15</v>
      </c>
      <c r="Q15" s="55">
        <f t="shared" si="5"/>
        <v>8.75</v>
      </c>
      <c r="R15" s="55">
        <f t="shared" si="5"/>
        <v>22</v>
      </c>
      <c r="S15" s="55">
        <f t="shared" si="5"/>
        <v>4.05</v>
      </c>
      <c r="T15" s="55">
        <f t="shared" si="5"/>
        <v>9.35</v>
      </c>
      <c r="U15" s="55">
        <f t="shared" si="5"/>
        <v>23</v>
      </c>
      <c r="V15" s="55">
        <f t="shared" si="5"/>
        <v>4.5</v>
      </c>
      <c r="W15" s="55">
        <f t="shared" si="5"/>
        <v>9.75</v>
      </c>
      <c r="X15" s="55">
        <f t="shared" si="5"/>
        <v>25</v>
      </c>
      <c r="Y15" s="55">
        <f t="shared" si="5"/>
        <v>85</v>
      </c>
      <c r="Z15" s="55">
        <f t="shared" si="5"/>
        <v>95</v>
      </c>
      <c r="AA15" s="55">
        <f t="shared" si="5"/>
        <v>100</v>
      </c>
      <c r="AB15" s="55">
        <f t="shared" si="5"/>
        <v>100</v>
      </c>
    </row>
    <row r="16" spans="1:28" s="44" customFormat="1" ht="12.75">
      <c r="A16" s="16"/>
      <c r="B16" s="69" t="s">
        <v>414</v>
      </c>
      <c r="D16" s="77">
        <f>D15*D4</f>
        <v>7703.046052302915</v>
      </c>
      <c r="E16" s="77">
        <f aca="true" t="shared" si="6" ref="E16:O16">E15*E4</f>
        <v>6889.366061401239</v>
      </c>
      <c r="F16" s="77">
        <f t="shared" si="6"/>
        <v>-6989.854959216092</v>
      </c>
      <c r="G16" s="77">
        <f t="shared" si="6"/>
        <v>38885.88170781582</v>
      </c>
      <c r="H16" s="77">
        <f t="shared" si="6"/>
        <v>16849.928755418867</v>
      </c>
      <c r="I16" s="77">
        <f t="shared" si="6"/>
        <v>-6434.867171031251</v>
      </c>
      <c r="J16" s="77">
        <f t="shared" si="6"/>
        <v>12454.21773888213</v>
      </c>
      <c r="K16" s="77">
        <f t="shared" si="6"/>
        <v>10425.655033061796</v>
      </c>
      <c r="L16" s="77">
        <f t="shared" si="6"/>
        <v>6701.979303427831</v>
      </c>
      <c r="M16" s="77">
        <f t="shared" si="6"/>
        <v>2473.382361890616</v>
      </c>
      <c r="N16" s="77">
        <f t="shared" si="6"/>
        <v>12459.308834268746</v>
      </c>
      <c r="O16" s="77">
        <f t="shared" si="6"/>
        <v>20620.229792835926</v>
      </c>
      <c r="P16" s="77">
        <f aca="true" t="shared" si="7" ref="P16:AB16">P15*P4</f>
        <v>0</v>
      </c>
      <c r="Q16" s="77">
        <f t="shared" si="7"/>
        <v>0</v>
      </c>
      <c r="R16" s="77">
        <f t="shared" si="7"/>
        <v>0</v>
      </c>
      <c r="S16" s="77">
        <f t="shared" si="7"/>
        <v>0</v>
      </c>
      <c r="T16" s="77">
        <f t="shared" si="7"/>
        <v>0</v>
      </c>
      <c r="U16" s="77">
        <f t="shared" si="7"/>
        <v>0</v>
      </c>
      <c r="V16" s="77">
        <f t="shared" si="7"/>
        <v>0</v>
      </c>
      <c r="W16" s="77">
        <f t="shared" si="7"/>
        <v>0</v>
      </c>
      <c r="X16" s="77">
        <f t="shared" si="7"/>
        <v>0</v>
      </c>
      <c r="Y16" s="77">
        <f t="shared" si="7"/>
        <v>0</v>
      </c>
      <c r="Z16" s="77">
        <f t="shared" si="7"/>
        <v>0</v>
      </c>
      <c r="AA16" s="77">
        <f t="shared" si="7"/>
        <v>0</v>
      </c>
      <c r="AB16" s="77">
        <f t="shared" si="7"/>
        <v>0</v>
      </c>
    </row>
    <row r="17" spans="1:28" s="44" customFormat="1" ht="13.5" thickBot="1">
      <c r="A17" s="16"/>
      <c r="B17" s="69" t="s">
        <v>163</v>
      </c>
      <c r="E17" s="55"/>
      <c r="F17" s="55"/>
      <c r="G17" s="55"/>
      <c r="H17" s="55"/>
      <c r="I17" s="55"/>
      <c r="J17" s="55"/>
      <c r="K17" s="55"/>
      <c r="L17" s="55"/>
      <c r="M17" s="55"/>
      <c r="N17" s="55"/>
      <c r="O17" s="55"/>
      <c r="P17" s="55"/>
      <c r="Q17" s="55"/>
      <c r="R17" s="55"/>
      <c r="S17" s="55"/>
      <c r="T17" s="55"/>
      <c r="U17" s="55"/>
      <c r="V17" s="55"/>
      <c r="W17" s="55"/>
      <c r="X17" s="55"/>
      <c r="Y17" s="55"/>
      <c r="Z17" s="55"/>
      <c r="AA17" s="55"/>
      <c r="AB17" s="55"/>
    </row>
    <row r="18" spans="1:28" s="44" customFormat="1" ht="13.5" thickBot="1">
      <c r="A18" s="16"/>
      <c r="B18" s="287">
        <f>SUM(D16:AB16)</f>
        <v>122038.27351105853</v>
      </c>
      <c r="C18" s="288"/>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28" s="44" customFormat="1" ht="12.75">
      <c r="A19" s="16"/>
      <c r="B19" s="257"/>
      <c r="C19" s="258"/>
      <c r="E19" s="55"/>
      <c r="F19" s="55"/>
      <c r="G19" s="55"/>
      <c r="H19" s="55"/>
      <c r="I19" s="55"/>
      <c r="J19" s="55"/>
      <c r="K19" s="55"/>
      <c r="L19" s="55"/>
      <c r="M19" s="55"/>
      <c r="N19" s="55"/>
      <c r="O19" s="55"/>
      <c r="P19" s="55"/>
      <c r="Q19" s="55"/>
      <c r="R19" s="55"/>
      <c r="S19" s="55"/>
      <c r="T19" s="55"/>
      <c r="U19" s="55"/>
      <c r="V19" s="55"/>
      <c r="W19" s="55"/>
      <c r="X19" s="55"/>
      <c r="Y19" s="55"/>
      <c r="Z19" s="55"/>
      <c r="AA19" s="55"/>
      <c r="AB19" s="55"/>
    </row>
    <row r="20" spans="1:28" s="227" customFormat="1" ht="16.5">
      <c r="A20" s="164"/>
      <c r="B20" s="262" t="str">
        <f>'8 Cost of Production'!B117</f>
        <v>Meet Cash Flow Demands per plant sold</v>
      </c>
      <c r="C20" s="263"/>
      <c r="D20" s="263">
        <f>'8 Cost of Production'!D117</f>
        <v>3.150727643655613</v>
      </c>
      <c r="E20" s="263">
        <f>'8 Cost of Production'!E117</f>
        <v>9.078775753049365</v>
      </c>
      <c r="F20" s="263">
        <f>'8 Cost of Production'!F117</f>
        <v>24.57953368209515</v>
      </c>
      <c r="G20" s="263">
        <f>'8 Cost of Production'!G117</f>
        <v>3.5975345484175176</v>
      </c>
      <c r="H20" s="263">
        <f>'8 Cost of Production'!H117</f>
        <v>9.36672598834348</v>
      </c>
      <c r="I20" s="263">
        <f>'8 Cost of Production'!I117</f>
        <v>25.420386539238002</v>
      </c>
      <c r="J20" s="263">
        <f>'8 Cost of Production'!J117</f>
        <v>4.2500156000048195</v>
      </c>
      <c r="K20" s="263">
        <f>'8 Cost of Production'!K117</f>
        <v>9.686961870696424</v>
      </c>
      <c r="L20" s="263">
        <f>'8 Cost of Production'!L117</f>
        <v>26.681665824952287</v>
      </c>
      <c r="M20" s="263">
        <f>'8 Cost of Production'!M117</f>
        <v>94.29224070067404</v>
      </c>
      <c r="N20" s="263">
        <f>'8 Cost of Production'!N117</f>
        <v>94.9870936418505</v>
      </c>
      <c r="O20" s="263">
        <f>'8 Cost of Production'!O117</f>
        <v>96.02937305361522</v>
      </c>
      <c r="P20" s="263">
        <f>'8 Cost of Production'!P117</f>
        <v>0</v>
      </c>
      <c r="Q20" s="263">
        <f>'8 Cost of Production'!Q117</f>
        <v>0</v>
      </c>
      <c r="R20" s="263">
        <f>'8 Cost of Production'!R117</f>
        <v>0</v>
      </c>
      <c r="S20" s="263">
        <f>'8 Cost of Production'!S117</f>
        <v>0</v>
      </c>
      <c r="T20" s="263">
        <f>'8 Cost of Production'!T117</f>
        <v>0</v>
      </c>
      <c r="U20" s="263">
        <f>'8 Cost of Production'!U117</f>
        <v>0</v>
      </c>
      <c r="V20" s="263">
        <f>'8 Cost of Production'!V117</f>
        <v>0</v>
      </c>
      <c r="W20" s="263">
        <f>'8 Cost of Production'!W117</f>
        <v>0</v>
      </c>
      <c r="X20" s="263">
        <f>'8 Cost of Production'!X117</f>
        <v>0</v>
      </c>
      <c r="Y20" s="263">
        <f>'8 Cost of Production'!Y117</f>
        <v>0</v>
      </c>
      <c r="Z20" s="263">
        <f>'8 Cost of Production'!Z117</f>
        <v>0</v>
      </c>
      <c r="AA20" s="263">
        <f>'8 Cost of Production'!AA117</f>
        <v>0</v>
      </c>
      <c r="AB20" s="263">
        <f>'8 Cost of Production'!AB117</f>
        <v>0</v>
      </c>
    </row>
    <row r="21" spans="1:28" s="44" customFormat="1" ht="12.75">
      <c r="A21" s="16"/>
      <c r="B21" s="159" t="s">
        <v>164</v>
      </c>
      <c r="D21" s="55">
        <f>D6-D20</f>
        <v>-0.0007276436556131749</v>
      </c>
      <c r="E21" s="55">
        <f aca="true" t="shared" si="8" ref="E21:O21">E6-E20</f>
        <v>-0.32877575304936535</v>
      </c>
      <c r="F21" s="55">
        <f t="shared" si="8"/>
        <v>-2.5795336820951498</v>
      </c>
      <c r="G21" s="55">
        <f t="shared" si="8"/>
        <v>0.4524654515824822</v>
      </c>
      <c r="H21" s="55">
        <f t="shared" si="8"/>
        <v>-0.016725988343480935</v>
      </c>
      <c r="I21" s="55">
        <f t="shared" si="8"/>
        <v>-2.4203865392380024</v>
      </c>
      <c r="J21" s="55">
        <f t="shared" si="8"/>
        <v>0.24998439999518052</v>
      </c>
      <c r="K21" s="55">
        <f t="shared" si="8"/>
        <v>0.06303812930357644</v>
      </c>
      <c r="L21" s="55">
        <f t="shared" si="8"/>
        <v>-1.6816658249522867</v>
      </c>
      <c r="M21" s="55">
        <f t="shared" si="8"/>
        <v>-9.292240700674043</v>
      </c>
      <c r="N21" s="55">
        <f t="shared" si="8"/>
        <v>0.012906358149493258</v>
      </c>
      <c r="O21" s="55">
        <f t="shared" si="8"/>
        <v>3.970626946384783</v>
      </c>
      <c r="P21" s="55">
        <f aca="true" t="shared" si="9" ref="P21:AB21">P6-P20</f>
        <v>3.15</v>
      </c>
      <c r="Q21" s="55">
        <f t="shared" si="9"/>
        <v>8.75</v>
      </c>
      <c r="R21" s="55">
        <f t="shared" si="9"/>
        <v>22</v>
      </c>
      <c r="S21" s="55">
        <f t="shared" si="9"/>
        <v>4.05</v>
      </c>
      <c r="T21" s="55">
        <f t="shared" si="9"/>
        <v>9.35</v>
      </c>
      <c r="U21" s="55">
        <f t="shared" si="9"/>
        <v>23</v>
      </c>
      <c r="V21" s="55">
        <f t="shared" si="9"/>
        <v>4.5</v>
      </c>
      <c r="W21" s="55">
        <f t="shared" si="9"/>
        <v>9.75</v>
      </c>
      <c r="X21" s="55">
        <f t="shared" si="9"/>
        <v>25</v>
      </c>
      <c r="Y21" s="55">
        <f t="shared" si="9"/>
        <v>85</v>
      </c>
      <c r="Z21" s="55">
        <f t="shared" si="9"/>
        <v>95</v>
      </c>
      <c r="AA21" s="55">
        <f t="shared" si="9"/>
        <v>100</v>
      </c>
      <c r="AB21" s="55">
        <f t="shared" si="9"/>
        <v>100</v>
      </c>
    </row>
    <row r="22" spans="1:28" s="44" customFormat="1" ht="12.75">
      <c r="A22" s="16"/>
      <c r="B22" s="159" t="s">
        <v>166</v>
      </c>
      <c r="D22" s="77">
        <f>D21*D4</f>
        <v>-32.743964502592874</v>
      </c>
      <c r="E22" s="77">
        <f aca="true" t="shared" si="10" ref="E22:O22">E21*E4</f>
        <v>-5868.647191931172</v>
      </c>
      <c r="F22" s="77">
        <f t="shared" si="10"/>
        <v>-28890.77723946568</v>
      </c>
      <c r="G22" s="77">
        <f t="shared" si="10"/>
        <v>28179.548324556992</v>
      </c>
      <c r="H22" s="77">
        <f t="shared" si="10"/>
        <v>-403.7653586116298</v>
      </c>
      <c r="I22" s="77">
        <f t="shared" si="10"/>
        <v>-33498.149703053954</v>
      </c>
      <c r="J22" s="77">
        <f t="shared" si="10"/>
        <v>7379.539487857729</v>
      </c>
      <c r="K22" s="77">
        <f t="shared" si="10"/>
        <v>844.9946042497904</v>
      </c>
      <c r="L22" s="77">
        <f t="shared" si="10"/>
        <v>-41167.179394831976</v>
      </c>
      <c r="M22" s="77">
        <f t="shared" si="10"/>
        <v>-7898.404595572936</v>
      </c>
      <c r="N22" s="77">
        <f t="shared" si="10"/>
        <v>13.164485312483123</v>
      </c>
      <c r="O22" s="77">
        <f t="shared" si="10"/>
        <v>5062.5493566405985</v>
      </c>
      <c r="P22" s="77">
        <f aca="true" t="shared" si="11" ref="P22:AB22">P21*P4</f>
        <v>0</v>
      </c>
      <c r="Q22" s="77">
        <f t="shared" si="11"/>
        <v>0</v>
      </c>
      <c r="R22" s="77">
        <f t="shared" si="11"/>
        <v>0</v>
      </c>
      <c r="S22" s="77">
        <f t="shared" si="11"/>
        <v>0</v>
      </c>
      <c r="T22" s="77">
        <f t="shared" si="11"/>
        <v>0</v>
      </c>
      <c r="U22" s="77">
        <f t="shared" si="11"/>
        <v>0</v>
      </c>
      <c r="V22" s="77">
        <f t="shared" si="11"/>
        <v>0</v>
      </c>
      <c r="W22" s="77">
        <f t="shared" si="11"/>
        <v>0</v>
      </c>
      <c r="X22" s="77">
        <f t="shared" si="11"/>
        <v>0</v>
      </c>
      <c r="Y22" s="77">
        <f t="shared" si="11"/>
        <v>0</v>
      </c>
      <c r="Z22" s="77">
        <f t="shared" si="11"/>
        <v>0</v>
      </c>
      <c r="AA22" s="77">
        <f t="shared" si="11"/>
        <v>0</v>
      </c>
      <c r="AB22" s="77">
        <f t="shared" si="11"/>
        <v>0</v>
      </c>
    </row>
    <row r="23" spans="1:28" s="44" customFormat="1" ht="13.5" thickBot="1">
      <c r="A23" s="16"/>
      <c r="B23" s="159" t="s">
        <v>165</v>
      </c>
      <c r="E23" s="55"/>
      <c r="F23" s="55"/>
      <c r="G23" s="55"/>
      <c r="H23" s="55"/>
      <c r="I23" s="55"/>
      <c r="J23" s="55"/>
      <c r="K23" s="55"/>
      <c r="L23" s="55"/>
      <c r="M23" s="55"/>
      <c r="N23" s="55"/>
      <c r="O23" s="55"/>
      <c r="P23" s="55"/>
      <c r="Q23" s="55"/>
      <c r="R23" s="55"/>
      <c r="S23" s="55"/>
      <c r="T23" s="55"/>
      <c r="U23" s="55"/>
      <c r="V23" s="55"/>
      <c r="W23" s="55"/>
      <c r="X23" s="55"/>
      <c r="Y23" s="55"/>
      <c r="Z23" s="55"/>
      <c r="AA23" s="55"/>
      <c r="AB23" s="55"/>
    </row>
    <row r="24" spans="1:28" s="44" customFormat="1" ht="13.5" thickBot="1">
      <c r="A24" s="16"/>
      <c r="B24" s="287">
        <f>SUM(D22:AB22)</f>
        <v>-76279.87118935234</v>
      </c>
      <c r="C24" s="288"/>
      <c r="E24" s="55"/>
      <c r="F24" s="55"/>
      <c r="G24" s="55"/>
      <c r="H24" s="55"/>
      <c r="I24" s="55"/>
      <c r="J24" s="55"/>
      <c r="K24" s="55"/>
      <c r="L24" s="55"/>
      <c r="M24" s="55"/>
      <c r="N24" s="55"/>
      <c r="O24" s="55"/>
      <c r="P24" s="55"/>
      <c r="Q24" s="55"/>
      <c r="R24" s="55"/>
      <c r="S24" s="55"/>
      <c r="T24" s="55"/>
      <c r="U24" s="55"/>
      <c r="V24" s="55"/>
      <c r="W24" s="55"/>
      <c r="X24" s="55"/>
      <c r="Y24" s="55"/>
      <c r="Z24" s="55"/>
      <c r="AA24" s="55"/>
      <c r="AB24" s="55"/>
    </row>
    <row r="25" spans="1:28" s="44" customFormat="1" ht="12.75">
      <c r="A25" s="16"/>
      <c r="B25" s="257"/>
      <c r="C25" s="258"/>
      <c r="E25" s="55"/>
      <c r="F25" s="55"/>
      <c r="G25" s="55"/>
      <c r="H25" s="55"/>
      <c r="I25" s="55"/>
      <c r="J25" s="55"/>
      <c r="K25" s="55"/>
      <c r="L25" s="55"/>
      <c r="M25" s="55"/>
      <c r="N25" s="55"/>
      <c r="O25" s="55"/>
      <c r="P25" s="55"/>
      <c r="Q25" s="55"/>
      <c r="R25" s="55"/>
      <c r="S25" s="55"/>
      <c r="T25" s="55"/>
      <c r="U25" s="55"/>
      <c r="V25" s="55"/>
      <c r="W25" s="55"/>
      <c r="X25" s="55"/>
      <c r="Y25" s="55"/>
      <c r="Z25" s="55"/>
      <c r="AA25" s="55"/>
      <c r="AB25" s="55"/>
    </row>
    <row r="26" spans="2:47" s="16" customFormat="1" ht="12.75">
      <c r="B26" s="69" t="s">
        <v>96</v>
      </c>
      <c r="D26" s="104">
        <f>'8 Cost of Production'!D11</f>
        <v>1.5346606255697164</v>
      </c>
      <c r="E26" s="104">
        <f>'8 Cost of Production'!E11</f>
        <v>2.53099173553719</v>
      </c>
      <c r="F26" s="104">
        <f>'8 Cost of Production'!F11</f>
        <v>4.34480292434838</v>
      </c>
      <c r="G26" s="104">
        <f>'8 Cost of Production'!G11</f>
        <v>2.1239703057884873</v>
      </c>
      <c r="H26" s="104">
        <f>'8 Cost of Production'!H11</f>
        <v>3.422865013774105</v>
      </c>
      <c r="I26" s="104">
        <f>'8 Cost of Production'!I11</f>
        <v>5.368935042230497</v>
      </c>
      <c r="J26" s="104">
        <f>'8 Cost of Production'!J11</f>
        <v>1.0067373703737341</v>
      </c>
      <c r="K26" s="104">
        <f>'8 Cost of Production'!K11</f>
        <v>1.9006542699724518</v>
      </c>
      <c r="L26" s="104">
        <f>'8 Cost of Production'!L11</f>
        <v>9.496497820361457</v>
      </c>
      <c r="M26" s="104">
        <f>'8 Cost of Production'!M11</f>
        <v>8.230405957678686</v>
      </c>
      <c r="N26" s="104">
        <f>'8 Cost of Production'!N11</f>
        <v>9.876487149214423</v>
      </c>
      <c r="O26" s="104">
        <f>'8 Cost of Production'!O11</f>
        <v>12.345608936518028</v>
      </c>
      <c r="P26" s="104">
        <f>'8 Cost of Production'!P11</f>
        <v>0</v>
      </c>
      <c r="Q26" s="104">
        <f>'8 Cost of Production'!Q11</f>
        <v>0</v>
      </c>
      <c r="R26" s="104">
        <f>'8 Cost of Production'!R11</f>
        <v>0</v>
      </c>
      <c r="S26" s="104">
        <f>'8 Cost of Production'!S11</f>
        <v>0</v>
      </c>
      <c r="T26" s="104">
        <f>'8 Cost of Production'!T11</f>
        <v>0</v>
      </c>
      <c r="U26" s="104">
        <f>'8 Cost of Production'!U11</f>
        <v>0</v>
      </c>
      <c r="V26" s="104">
        <f>'8 Cost of Production'!V11</f>
        <v>0</v>
      </c>
      <c r="W26" s="104">
        <f>'8 Cost of Production'!W11</f>
        <v>0</v>
      </c>
      <c r="X26" s="104">
        <f>'8 Cost of Production'!X11</f>
        <v>0</v>
      </c>
      <c r="Y26" s="104">
        <f>'8 Cost of Production'!Y11</f>
        <v>0</v>
      </c>
      <c r="Z26" s="104">
        <f>'8 Cost of Production'!Z11</f>
        <v>0</v>
      </c>
      <c r="AA26" s="104">
        <f>'8 Cost of Production'!AA11</f>
        <v>0</v>
      </c>
      <c r="AB26" s="104">
        <f>'8 Cost of Production'!AB11</f>
        <v>0</v>
      </c>
      <c r="AC26" s="245"/>
      <c r="AD26" s="245"/>
      <c r="AE26" s="245"/>
      <c r="AF26" s="245"/>
      <c r="AG26" s="245"/>
      <c r="AH26" s="245"/>
      <c r="AI26" s="245"/>
      <c r="AJ26" s="245"/>
      <c r="AK26" s="245"/>
      <c r="AL26" s="245"/>
      <c r="AM26" s="245"/>
      <c r="AN26" s="245"/>
      <c r="AO26" s="245"/>
      <c r="AP26" s="245"/>
      <c r="AQ26" s="245"/>
      <c r="AR26" s="245"/>
      <c r="AS26" s="245"/>
      <c r="AT26" s="245"/>
      <c r="AU26" s="245"/>
    </row>
    <row r="27" spans="2:28" s="16" customFormat="1" ht="12.75">
      <c r="B27" s="69" t="s">
        <v>70</v>
      </c>
      <c r="D27" s="104">
        <f>SUM(D26:AB26)</f>
        <v>62.18261715136715</v>
      </c>
      <c r="E27" s="76"/>
      <c r="F27" s="76"/>
      <c r="G27" s="76"/>
      <c r="H27" s="76"/>
      <c r="I27" s="76"/>
      <c r="J27" s="76"/>
      <c r="K27" s="76"/>
      <c r="L27" s="76"/>
      <c r="M27" s="76"/>
      <c r="N27" s="76"/>
      <c r="O27" s="76"/>
      <c r="P27" s="76"/>
      <c r="Q27" s="76"/>
      <c r="R27" s="76"/>
      <c r="S27" s="76"/>
      <c r="T27" s="76"/>
      <c r="U27" s="76"/>
      <c r="V27" s="76"/>
      <c r="W27" s="76"/>
      <c r="X27" s="76"/>
      <c r="Y27" s="76"/>
      <c r="Z27" s="76"/>
      <c r="AA27" s="76"/>
      <c r="AB27" s="76"/>
    </row>
    <row r="28" spans="2:28" s="16" customFormat="1" ht="12.75">
      <c r="B28" s="69" t="s">
        <v>100</v>
      </c>
      <c r="D28" s="77">
        <f>IF(D27&gt;0,(B12/D27),0)</f>
        <v>-2122.1642403328815</v>
      </c>
      <c r="E28" s="55"/>
      <c r="F28" s="55"/>
      <c r="G28" s="55"/>
      <c r="H28" s="55"/>
      <c r="I28" s="55"/>
      <c r="J28" s="55"/>
      <c r="K28" s="55"/>
      <c r="L28" s="55"/>
      <c r="M28" s="55"/>
      <c r="N28" s="55"/>
      <c r="O28" s="55"/>
      <c r="P28" s="55"/>
      <c r="Q28" s="55"/>
      <c r="R28" s="55"/>
      <c r="S28" s="55"/>
      <c r="T28" s="55"/>
      <c r="U28" s="55"/>
      <c r="V28" s="55"/>
      <c r="W28" s="55"/>
      <c r="X28" s="55"/>
      <c r="Y28" s="55"/>
      <c r="Z28" s="55"/>
      <c r="AA28" s="55"/>
      <c r="AB28" s="55"/>
    </row>
    <row r="29" spans="1:28" ht="1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28" ht="15">
      <c r="A30" s="31"/>
      <c r="B30" s="259" t="s">
        <v>441</v>
      </c>
      <c r="D30" s="5"/>
      <c r="E30" s="5"/>
      <c r="F30" s="5"/>
      <c r="G30" s="5"/>
      <c r="H30" s="5"/>
      <c r="I30" s="5"/>
      <c r="J30" s="5"/>
      <c r="K30" s="5"/>
      <c r="L30" s="5"/>
      <c r="M30" s="5"/>
      <c r="N30" s="5"/>
      <c r="O30" s="5"/>
      <c r="P30" s="5"/>
      <c r="Q30" s="5"/>
      <c r="R30" s="5"/>
      <c r="S30" s="5"/>
      <c r="T30" s="5"/>
      <c r="U30" s="5"/>
      <c r="V30" s="5"/>
      <c r="W30" s="5"/>
      <c r="X30" s="5"/>
      <c r="Y30" s="5"/>
      <c r="Z30" s="5"/>
      <c r="AA30" s="5"/>
      <c r="AB30" s="5"/>
    </row>
    <row r="31" spans="1:47" s="41" customFormat="1" ht="24.75" thickBot="1">
      <c r="A31" s="39"/>
      <c r="B31" s="260"/>
      <c r="C31" s="40"/>
      <c r="D31" s="54" t="str">
        <f>'8 Cost of Production'!D34</f>
        <v>Container Crop 1</v>
      </c>
      <c r="E31" s="54" t="str">
        <f>'8 Cost of Production'!E34</f>
        <v>Container Crop 2</v>
      </c>
      <c r="F31" s="54" t="str">
        <f>'8 Cost of Production'!F34</f>
        <v>Container Crop 3</v>
      </c>
      <c r="G31" s="54" t="str">
        <f>'8 Cost of Production'!G34</f>
        <v>Container Crop 4</v>
      </c>
      <c r="H31" s="54" t="str">
        <f>'8 Cost of Production'!H34</f>
        <v>Container Crop 5</v>
      </c>
      <c r="I31" s="54" t="str">
        <f>'8 Cost of Production'!I34</f>
        <v>Container Crop 6</v>
      </c>
      <c r="J31" s="54" t="str">
        <f>'8 Cost of Production'!J34</f>
        <v>Container Crop 7</v>
      </c>
      <c r="K31" s="54" t="str">
        <f>'8 Cost of Production'!K34</f>
        <v>Container Crop 8</v>
      </c>
      <c r="L31" s="54" t="str">
        <f>'8 Cost of Production'!L34</f>
        <v>Container Crop 9</v>
      </c>
      <c r="M31" s="54" t="str">
        <f>'8 Cost of Production'!M34</f>
        <v>Field Crop 1</v>
      </c>
      <c r="N31" s="54" t="str">
        <f>'8 Cost of Production'!N34</f>
        <v>Field Crop 2</v>
      </c>
      <c r="O31" s="54" t="str">
        <f>'8 Cost of Production'!O34</f>
        <v>Field Crop 3</v>
      </c>
      <c r="P31" s="54" t="str">
        <f>'8 Cost of Production'!P34</f>
        <v>Container Crop 10</v>
      </c>
      <c r="Q31" s="54" t="str">
        <f>'8 Cost of Production'!Q34</f>
        <v>Container Crop 11</v>
      </c>
      <c r="R31" s="54" t="str">
        <f>'8 Cost of Production'!R34</f>
        <v>Container Crop 12</v>
      </c>
      <c r="S31" s="54" t="str">
        <f>'8 Cost of Production'!S34</f>
        <v>Container Crop 13</v>
      </c>
      <c r="T31" s="54" t="str">
        <f>'8 Cost of Production'!T34</f>
        <v>Container Crop 14</v>
      </c>
      <c r="U31" s="54" t="str">
        <f>'8 Cost of Production'!U34</f>
        <v>Container Crop 15</v>
      </c>
      <c r="V31" s="54" t="str">
        <f>'8 Cost of Production'!V34</f>
        <v>Container Crop 16</v>
      </c>
      <c r="W31" s="54" t="str">
        <f>'8 Cost of Production'!W34</f>
        <v>Container Crop 17</v>
      </c>
      <c r="X31" s="54" t="str">
        <f>'8 Cost of Production'!X34</f>
        <v>Container Crop 18</v>
      </c>
      <c r="Y31" s="54" t="str">
        <f>'8 Cost of Production'!Y34</f>
        <v>Field Crop 4</v>
      </c>
      <c r="Z31" s="54" t="str">
        <f>'8 Cost of Production'!Z34</f>
        <v>Field Crop 5</v>
      </c>
      <c r="AA31" s="54" t="str">
        <f>'8 Cost of Production'!AA34</f>
        <v>Field Crop 6</v>
      </c>
      <c r="AB31" s="54" t="str">
        <f>'8 Cost of Production'!AB34</f>
        <v>Field Crop 7</v>
      </c>
      <c r="AC31" s="266"/>
      <c r="AD31" s="266"/>
      <c r="AE31" s="266"/>
      <c r="AF31" s="266"/>
      <c r="AG31" s="266"/>
      <c r="AH31" s="266"/>
      <c r="AI31" s="266"/>
      <c r="AJ31" s="266"/>
      <c r="AK31" s="266"/>
      <c r="AL31" s="266"/>
      <c r="AM31" s="266"/>
      <c r="AN31" s="266"/>
      <c r="AO31" s="266"/>
      <c r="AP31" s="266"/>
      <c r="AQ31" s="266"/>
      <c r="AR31" s="266"/>
      <c r="AS31" s="266"/>
      <c r="AT31" s="266"/>
      <c r="AU31" s="266"/>
    </row>
    <row r="32" spans="1:47" s="41" customFormat="1" ht="12.75">
      <c r="A32" s="39"/>
      <c r="B32" s="71" t="s">
        <v>107</v>
      </c>
      <c r="C32" s="40"/>
      <c r="D32" s="151">
        <v>40000</v>
      </c>
      <c r="E32" s="151">
        <v>21000</v>
      </c>
      <c r="F32" s="151">
        <v>11000</v>
      </c>
      <c r="G32" s="151">
        <v>55000</v>
      </c>
      <c r="H32" s="151">
        <v>24000</v>
      </c>
      <c r="I32" s="151">
        <v>15000</v>
      </c>
      <c r="J32" s="151">
        <v>26000</v>
      </c>
      <c r="K32" s="151">
        <v>13500</v>
      </c>
      <c r="L32" s="151">
        <v>25000</v>
      </c>
      <c r="M32" s="151">
        <v>900</v>
      </c>
      <c r="N32" s="151">
        <v>1010</v>
      </c>
      <c r="O32" s="151">
        <v>1275</v>
      </c>
      <c r="P32" s="151">
        <v>0</v>
      </c>
      <c r="Q32" s="151">
        <v>0</v>
      </c>
      <c r="R32" s="151">
        <v>0</v>
      </c>
      <c r="S32" s="151">
        <v>0</v>
      </c>
      <c r="T32" s="151">
        <v>0</v>
      </c>
      <c r="U32" s="151">
        <v>0</v>
      </c>
      <c r="V32" s="151">
        <v>0</v>
      </c>
      <c r="W32" s="151">
        <v>0</v>
      </c>
      <c r="X32" s="151">
        <v>0</v>
      </c>
      <c r="Y32" s="151">
        <v>0</v>
      </c>
      <c r="Z32" s="151">
        <v>0</v>
      </c>
      <c r="AA32" s="151">
        <v>0</v>
      </c>
      <c r="AB32" s="151">
        <v>0</v>
      </c>
      <c r="AC32" s="49"/>
      <c r="AD32" s="266"/>
      <c r="AE32" s="266"/>
      <c r="AF32" s="266"/>
      <c r="AG32" s="266"/>
      <c r="AH32" s="266"/>
      <c r="AI32" s="266"/>
      <c r="AJ32" s="266"/>
      <c r="AK32" s="266"/>
      <c r="AL32" s="266"/>
      <c r="AM32" s="266"/>
      <c r="AN32" s="266"/>
      <c r="AO32" s="266"/>
      <c r="AP32" s="266"/>
      <c r="AQ32" s="266"/>
      <c r="AR32" s="266"/>
      <c r="AS32" s="266"/>
      <c r="AT32" s="266"/>
      <c r="AU32" s="266"/>
    </row>
    <row r="33" spans="1:28" s="34" customFormat="1" ht="12.75">
      <c r="A33" s="32"/>
      <c r="B33" s="72" t="s">
        <v>101</v>
      </c>
      <c r="C33" s="33"/>
      <c r="D33" s="122">
        <f>IF(D32&gt;0,(D32/'1 Enterprises'!D6),0)</f>
        <v>0.8</v>
      </c>
      <c r="E33" s="122">
        <f>IF(E32&gt;0,(E32/'1 Enterprises'!E6),0)</f>
        <v>1</v>
      </c>
      <c r="F33" s="122">
        <f>IF(F32&gt;0,(F32/'1 Enterprises'!F6),0)</f>
        <v>0.7857142857142857</v>
      </c>
      <c r="G33" s="122">
        <f>IF(G32&gt;0,(G32/'1 Enterprises'!G6),0)</f>
        <v>0.7947976878612717</v>
      </c>
      <c r="H33" s="122">
        <f>IF(H32&gt;0,(H32/'1 Enterprises'!H6),0)</f>
        <v>0.8450704225352113</v>
      </c>
      <c r="I33" s="122">
        <f>IF(I32&gt;0,(I32/'1 Enterprises'!I6),0)</f>
        <v>0.8670520231213873</v>
      </c>
      <c r="J33" s="122">
        <f>IF(J32&gt;0,(J32/'1 Enterprises'!J6),0)</f>
        <v>0.7926829268292683</v>
      </c>
      <c r="K33" s="122">
        <f>IF(K32&gt;0,(K32/'1 Enterprises'!K6),0)</f>
        <v>0.8560558021559924</v>
      </c>
      <c r="L33" s="122">
        <f>IF(L32&gt;0,(L32/'1 Enterprises'!L6),0)</f>
        <v>0.8169934640522876</v>
      </c>
      <c r="M33" s="122">
        <f>IF(M32&gt;0,(M32/'1 Enterprises'!M6),0)</f>
        <v>0.9</v>
      </c>
      <c r="N33" s="122">
        <f>IF(N32&gt;0,(N32/'1 Enterprises'!N6),0)</f>
        <v>0.8416666666666667</v>
      </c>
      <c r="O33" s="122">
        <f>IF(O32&gt;0,(O32/'1 Enterprises'!O6),0)</f>
        <v>0.85</v>
      </c>
      <c r="P33" s="122">
        <f>IF(P32&gt;0,(P32/'1 Enterprises'!P6),0)</f>
        <v>0</v>
      </c>
      <c r="Q33" s="122">
        <f>IF(Q32&gt;0,(Q32/'1 Enterprises'!Q6),0)</f>
        <v>0</v>
      </c>
      <c r="R33" s="122">
        <f>IF(R32&gt;0,(R32/'1 Enterprises'!R6),0)</f>
        <v>0</v>
      </c>
      <c r="S33" s="122">
        <f>IF(S32&gt;0,(S32/'1 Enterprises'!S6),0)</f>
        <v>0</v>
      </c>
      <c r="T33" s="122">
        <f>IF(T32&gt;0,(T32/'1 Enterprises'!T6),0)</f>
        <v>0</v>
      </c>
      <c r="U33" s="122">
        <f>IF(U32&gt;0,(U32/'1 Enterprises'!U6),0)</f>
        <v>0</v>
      </c>
      <c r="V33" s="122">
        <f>IF(V32&gt;0,(V32/'1 Enterprises'!V6),0)</f>
        <v>0</v>
      </c>
      <c r="W33" s="122">
        <f>IF(W32&gt;0,(W32/'1 Enterprises'!W6),0)</f>
        <v>0</v>
      </c>
      <c r="X33" s="122">
        <f>IF(X32&gt;0,(X32/'1 Enterprises'!X6),0)</f>
        <v>0</v>
      </c>
      <c r="Y33" s="122">
        <f>IF(Y32&gt;0,(Y32/'1 Enterprises'!Y6),0)</f>
        <v>0</v>
      </c>
      <c r="Z33" s="122">
        <f>IF(Z32&gt;0,(Z32/'1 Enterprises'!Z6),0)</f>
        <v>0</v>
      </c>
      <c r="AA33" s="122">
        <f>IF(AA32&gt;0,(AA32/'1 Enterprises'!AA6),0)</f>
        <v>0</v>
      </c>
      <c r="AB33" s="122">
        <f>IF(AB32&gt;0,(AB32/'1 Enterprises'!AB6),0)</f>
        <v>0</v>
      </c>
    </row>
    <row r="34" spans="1:28" s="136" customFormat="1" ht="15">
      <c r="A34" s="30"/>
      <c r="B34" s="265" t="s">
        <v>447</v>
      </c>
      <c r="C34" s="261"/>
      <c r="D34" s="261">
        <f>IF(D33&gt;0,(D8*'1 Enterprises'!D$15/'9 COP Summary'!D$33),0)</f>
        <v>3.5988681112669454</v>
      </c>
      <c r="E34" s="261">
        <f>IF(E33&gt;0,(E8*'1 Enterprises'!E$15/'9 COP Summary'!E$33),0)</f>
        <v>7.887534241150078</v>
      </c>
      <c r="F34" s="261">
        <f>IF(F33&gt;0,(F8*'1 Enterprises'!F$15/'9 COP Summary'!F$33),0)</f>
        <v>25.585446081605934</v>
      </c>
      <c r="G34" s="261">
        <f>IF(G33&gt;0,(G8*'1 Enterprises'!G$15/'9 COP Summary'!G$33),0)</f>
        <v>4.1283722303329</v>
      </c>
      <c r="H34" s="261">
        <f>IF(H33&gt;0,(H8*'1 Enterprises'!H$15/'9 COP Summary'!H$33),0)</f>
        <v>9.623212130360924</v>
      </c>
      <c r="I34" s="261">
        <f>IF(I33&gt;0,(I8*'1 Enterprises'!I$15/'9 COP Summary'!I$33),0)</f>
        <v>23.961114471093367</v>
      </c>
      <c r="J34" s="261">
        <f>IF(J33&gt;0,(J8*'1 Enterprises'!J$15/'9 COP Summary'!J$33),0)</f>
        <v>4.880203065810509</v>
      </c>
      <c r="K34" s="261">
        <f>IF(K33&gt;0,(K8*'1 Enterprises'!K$15/'9 COP Summary'!K$33),0)</f>
        <v>9.817692281254573</v>
      </c>
      <c r="L34" s="261">
        <f>IF(L33&gt;0,(L8*'1 Enterprises'!L$15/'9 COP Summary'!L$33),0)</f>
        <v>26.66429679733873</v>
      </c>
      <c r="M34" s="261">
        <f>IF(M33&gt;0,(M8*'1 Enterprises'!M$15/'9 COP Summary'!M$33),0)</f>
        <v>92.28943874522415</v>
      </c>
      <c r="N34" s="261">
        <f>IF(N33&gt;0,(N8*'1 Enterprises'!N$15/'9 COP Summary'!N$33),0)</f>
        <v>99.38746915330897</v>
      </c>
      <c r="O34" s="261">
        <f>IF(O33&gt;0,(O8*'1 Enterprises'!O$15/'9 COP Summary'!O$33),0)</f>
        <v>99.45536161259025</v>
      </c>
      <c r="P34" s="261">
        <f>IF(P33&gt;0,(P8*'1 Enterprises'!P$15/'9 COP Summary'!P$33),0)</f>
        <v>0</v>
      </c>
      <c r="Q34" s="261">
        <f>IF(Q33&gt;0,(Q8*'1 Enterprises'!Q$15/'9 COP Summary'!Q$33),0)</f>
        <v>0</v>
      </c>
      <c r="R34" s="261">
        <f>IF(R33&gt;0,(R8*'1 Enterprises'!R$15/'9 COP Summary'!R$33),0)</f>
        <v>0</v>
      </c>
      <c r="S34" s="261">
        <f>IF(S33&gt;0,(S8*'1 Enterprises'!S$15/'9 COP Summary'!S$33),0)</f>
        <v>0</v>
      </c>
      <c r="T34" s="261">
        <f>IF(T33&gt;0,(T8*'1 Enterprises'!T$15/'9 COP Summary'!T$33),0)</f>
        <v>0</v>
      </c>
      <c r="U34" s="261">
        <f>IF(U33&gt;0,(U8*'1 Enterprises'!U$15/'9 COP Summary'!U$33),0)</f>
        <v>0</v>
      </c>
      <c r="V34" s="261">
        <f>IF(V33&gt;0,(V8*'1 Enterprises'!V$15/'9 COP Summary'!V$33),0)</f>
        <v>0</v>
      </c>
      <c r="W34" s="261">
        <f>IF(W33&gt;0,(W8*'1 Enterprises'!W$15/'9 COP Summary'!W$33),0)</f>
        <v>0</v>
      </c>
      <c r="X34" s="261">
        <f>IF(X33&gt;0,(X8*'1 Enterprises'!X$15/'9 COP Summary'!X$33),0)</f>
        <v>0</v>
      </c>
      <c r="Y34" s="261">
        <f>IF(Y33&gt;0,(Y8*'1 Enterprises'!Y$15/'9 COP Summary'!Y$33),0)</f>
        <v>0</v>
      </c>
      <c r="Z34" s="261">
        <f>IF(Z33&gt;0,(Z8*'1 Enterprises'!Z$15/'9 COP Summary'!Z$33),0)</f>
        <v>0</v>
      </c>
      <c r="AA34" s="261">
        <f>IF(AA33&gt;0,(AA8*'1 Enterprises'!AA$15/'9 COP Summary'!AA$33),0)</f>
        <v>0</v>
      </c>
      <c r="AB34" s="261">
        <f>IF(AB33&gt;0,(AB8*'1 Enterprises'!AB$15/'9 COP Summary'!AB$33),0)</f>
        <v>0</v>
      </c>
    </row>
    <row r="35" spans="1:28" s="136" customFormat="1" ht="15">
      <c r="A35" s="30"/>
      <c r="B35" s="265" t="s">
        <v>443</v>
      </c>
      <c r="C35" s="261"/>
      <c r="D35" s="261">
        <f>IF(D33&gt;0,(D14*'1 Enterprises'!D$15/'9 COP Summary'!D$33),0)</f>
        <v>3.3511738486924267</v>
      </c>
      <c r="E35" s="261">
        <f>IF(E33&gt;0,(E14*'1 Enterprises'!E$15/'9 COP Summary'!E$33),0)</f>
        <v>7.109434949457084</v>
      </c>
      <c r="F35" s="261">
        <f>IF(F33&gt;0,(F14*'1 Enterprises'!F$15/'9 COP Summary'!F$33),0)</f>
        <v>23.035441359928736</v>
      </c>
      <c r="G35" s="261">
        <f>IF(G33&gt;0,(G14*'1 Enterprises'!G$15/'9 COP Summary'!G$33),0)</f>
        <v>3.87905669622153</v>
      </c>
      <c r="H35" s="261">
        <f>IF(H33&gt;0,(H14*'1 Enterprises'!H$15/'9 COP Summary'!H$33),0)</f>
        <v>8.702461301857547</v>
      </c>
      <c r="I35" s="261">
        <f>IF(I33&gt;0,(I14*'1 Enterprises'!I$15/'9 COP Summary'!I$33),0)</f>
        <v>21.65032447806875</v>
      </c>
      <c r="J35" s="261">
        <f>IF(J33&gt;0,(J14*'1 Enterprises'!J$15/'9 COP Summary'!J$33),0)</f>
        <v>4.63022239465838</v>
      </c>
      <c r="K35" s="261">
        <f>IF(K33&gt;0,(K14*'1 Enterprises'!K$15/'9 COP Summary'!K$33),0)</f>
        <v>8.908757034588016</v>
      </c>
      <c r="L35" s="261">
        <f>IF(L33&gt;0,(L14*'1 Enterprises'!L$15/'9 COP Summary'!L$33),0)</f>
        <v>24.211920827862887</v>
      </c>
      <c r="M35" s="261">
        <f>IF(M33&gt;0,(M14*'1 Enterprises'!M$15/'9 COP Summary'!M$33),0)</f>
        <v>77.52957515345487</v>
      </c>
      <c r="N35" s="261">
        <f>IF(N33&gt;0,(N14*'1 Enterprises'!N$15/'9 COP Summary'!N$33),0)</f>
        <v>83.60464471854579</v>
      </c>
      <c r="O35" s="261">
        <f>IF(O33&gt;0,(O14*'1 Enterprises'!O$15/'9 COP Summary'!O$33),0)</f>
        <v>83.82727075071692</v>
      </c>
      <c r="P35" s="261">
        <f>IF(P33&gt;0,(P14*'1 Enterprises'!P$15/'9 COP Summary'!P$33),0)</f>
        <v>0</v>
      </c>
      <c r="Q35" s="261">
        <f>IF(Q33&gt;0,(Q14*'1 Enterprises'!Q$15/'9 COP Summary'!Q$33),0)</f>
        <v>0</v>
      </c>
      <c r="R35" s="261">
        <f>IF(R33&gt;0,(R14*'1 Enterprises'!R$15/'9 COP Summary'!R$33),0)</f>
        <v>0</v>
      </c>
      <c r="S35" s="261">
        <f>IF(S33&gt;0,(S14*'1 Enterprises'!S$15/'9 COP Summary'!S$33),0)</f>
        <v>0</v>
      </c>
      <c r="T35" s="261">
        <f>IF(T33&gt;0,(T14*'1 Enterprises'!T$15/'9 COP Summary'!T$33),0)</f>
        <v>0</v>
      </c>
      <c r="U35" s="261">
        <f>IF(U33&gt;0,(U14*'1 Enterprises'!U$15/'9 COP Summary'!U$33),0)</f>
        <v>0</v>
      </c>
      <c r="V35" s="261">
        <f>IF(V33&gt;0,(V14*'1 Enterprises'!V$15/'9 COP Summary'!V$33),0)</f>
        <v>0</v>
      </c>
      <c r="W35" s="261">
        <f>IF(W33&gt;0,(W14*'1 Enterprises'!W$15/'9 COP Summary'!W$33),0)</f>
        <v>0</v>
      </c>
      <c r="X35" s="261">
        <f>IF(X33&gt;0,(X14*'1 Enterprises'!X$15/'9 COP Summary'!X$33),0)</f>
        <v>0</v>
      </c>
      <c r="Y35" s="261">
        <f>IF(Y33&gt;0,(Y14*'1 Enterprises'!Y$15/'9 COP Summary'!Y$33),0)</f>
        <v>0</v>
      </c>
      <c r="Z35" s="261">
        <f>IF(Z33&gt;0,(Z14*'1 Enterprises'!Z$15/'9 COP Summary'!Z$33),0)</f>
        <v>0</v>
      </c>
      <c r="AA35" s="261">
        <f>IF(AA33&gt;0,(AA14*'1 Enterprises'!AA$15/'9 COP Summary'!AA$33),0)</f>
        <v>0</v>
      </c>
      <c r="AB35" s="261">
        <f>IF(AB33&gt;0,(AB14*'1 Enterprises'!AB$15/'9 COP Summary'!AB$33),0)</f>
        <v>0</v>
      </c>
    </row>
    <row r="36" spans="1:28" s="136" customFormat="1" ht="15">
      <c r="A36" s="30"/>
      <c r="B36" s="265" t="s">
        <v>442</v>
      </c>
      <c r="C36" s="261"/>
      <c r="D36" s="261">
        <f>IF(D33&gt;0,(D20*'1 Enterprises'!D$15/'9 COP Summary'!D$33),0)</f>
        <v>3.5445685991125644</v>
      </c>
      <c r="E36" s="261">
        <f>IF(E33&gt;0,(E20*'1 Enterprises'!E$15/'9 COP Summary'!E$33),0)</f>
        <v>7.716959390091961</v>
      </c>
      <c r="F36" s="261">
        <f>IF(F33&gt;0,(F20*'1 Enterprises'!F$15/'9 COP Summary'!F$33),0)</f>
        <v>25.026434294496884</v>
      </c>
      <c r="G36" s="261">
        <f>IF(G33&gt;0,(G20*'1 Enterprises'!G$15/'9 COP Summary'!G$33),0)</f>
        <v>4.073717303189873</v>
      </c>
      <c r="H36" s="261">
        <f>IF(H33&gt;0,(H20*'1 Enterprises'!H$15/'9 COP Summary'!H$33),0)</f>
        <v>9.421365223275483</v>
      </c>
      <c r="I36" s="261">
        <f>IF(I33&gt;0,(I20*'1 Enterprises'!I$15/'9 COP Summary'!I$33),0)</f>
        <v>23.45454331353693</v>
      </c>
      <c r="J36" s="261">
        <f>IF(J33&gt;0,(J20*'1 Enterprises'!J$15/'9 COP Summary'!J$33),0)</f>
        <v>4.825402327390087</v>
      </c>
      <c r="K36" s="261">
        <f>IF(K33&gt;0,(K20*'1 Enterprises'!K$15/'9 COP Summary'!K$33),0)</f>
        <v>9.618435584870385</v>
      </c>
      <c r="L36" s="261">
        <f>IF(L33&gt;0,(L20*'1 Enterprises'!L$15/'9 COP Summary'!L$33),0)</f>
        <v>26.12668717579328</v>
      </c>
      <c r="M36" s="261">
        <f>IF(M33&gt;0,(M20*'1 Enterprises'!M$15/'9 COP Summary'!M$33),0)</f>
        <v>89.05378288396993</v>
      </c>
      <c r="N36" s="261">
        <f>IF(N33&gt;0,(N20*'1 Enterprises'!N$15/'9 COP Summary'!N$33),0)</f>
        <v>95.9275599155322</v>
      </c>
      <c r="O36" s="261">
        <f>IF(O33&gt;0,(O20*'1 Enterprises'!O$15/'9 COP Summary'!O$33),0)</f>
        <v>96.02937305361522</v>
      </c>
      <c r="P36" s="261">
        <f>IF(P33&gt;0,(P20*'1 Enterprises'!P$15/'9 COP Summary'!P$33),0)</f>
        <v>0</v>
      </c>
      <c r="Q36" s="261">
        <f>IF(Q33&gt;0,(Q20*'1 Enterprises'!Q$15/'9 COP Summary'!Q$33),0)</f>
        <v>0</v>
      </c>
      <c r="R36" s="261">
        <f>IF(R33&gt;0,(R20*'1 Enterprises'!R$15/'9 COP Summary'!R$33),0)</f>
        <v>0</v>
      </c>
      <c r="S36" s="261">
        <f>IF(S33&gt;0,(S20*'1 Enterprises'!S$15/'9 COP Summary'!S$33),0)</f>
        <v>0</v>
      </c>
      <c r="T36" s="261">
        <f>IF(T33&gt;0,(T20*'1 Enterprises'!T$15/'9 COP Summary'!T$33),0)</f>
        <v>0</v>
      </c>
      <c r="U36" s="261">
        <f>IF(U33&gt;0,(U20*'1 Enterprises'!U$15/'9 COP Summary'!U$33),0)</f>
        <v>0</v>
      </c>
      <c r="V36" s="261">
        <f>IF(V33&gt;0,(V20*'1 Enterprises'!V$15/'9 COP Summary'!V$33),0)</f>
        <v>0</v>
      </c>
      <c r="W36" s="261">
        <f>IF(W33&gt;0,(W20*'1 Enterprises'!W$15/'9 COP Summary'!W$33),0)</f>
        <v>0</v>
      </c>
      <c r="X36" s="261">
        <f>IF(X33&gt;0,(X20*'1 Enterprises'!X$15/'9 COP Summary'!X$33),0)</f>
        <v>0</v>
      </c>
      <c r="Y36" s="261">
        <f>IF(Y33&gt;0,(Y20*'1 Enterprises'!Y$15/'9 COP Summary'!Y$33),0)</f>
        <v>0</v>
      </c>
      <c r="Z36" s="261">
        <f>IF(Z33&gt;0,(Z20*'1 Enterprises'!Z$15/'9 COP Summary'!Z$33),0)</f>
        <v>0</v>
      </c>
      <c r="AA36" s="261">
        <f>IF(AA33&gt;0,(AA20*'1 Enterprises'!AA$15/'9 COP Summary'!AA$33),0)</f>
        <v>0</v>
      </c>
      <c r="AB36" s="261">
        <f>IF(AB33&gt;0,(AB20*'1 Enterprises'!AB$15/'9 COP Summary'!AB$33),0)</f>
        <v>0</v>
      </c>
    </row>
    <row r="37" spans="1:28" ht="12.75">
      <c r="A37" s="31"/>
      <c r="B37" s="69" t="s">
        <v>327</v>
      </c>
      <c r="D37" s="147">
        <f>D8</f>
        <v>3.1989938766817296</v>
      </c>
      <c r="E37" s="147">
        <f>E8</f>
        <v>9.279452048411857</v>
      </c>
      <c r="F37" s="147">
        <f aca="true" t="shared" si="12" ref="F37:O37">F8</f>
        <v>25.128563115862967</v>
      </c>
      <c r="G37" s="147">
        <f t="shared" si="12"/>
        <v>3.645800781443634</v>
      </c>
      <c r="H37" s="147">
        <f t="shared" si="12"/>
        <v>9.567402283705974</v>
      </c>
      <c r="I37" s="147">
        <f t="shared" si="12"/>
        <v>25.969415973005816</v>
      </c>
      <c r="J37" s="147">
        <f t="shared" si="12"/>
        <v>4.298281833030936</v>
      </c>
      <c r="K37" s="147">
        <f t="shared" si="12"/>
        <v>9.887638166058915</v>
      </c>
      <c r="L37" s="147">
        <f t="shared" si="12"/>
        <v>27.230695258720104</v>
      </c>
      <c r="M37" s="147">
        <f t="shared" si="12"/>
        <v>97.71822925964909</v>
      </c>
      <c r="N37" s="147">
        <f t="shared" si="12"/>
        <v>98.41308220082556</v>
      </c>
      <c r="O37" s="147">
        <f t="shared" si="12"/>
        <v>99.45536161259027</v>
      </c>
      <c r="P37" s="147">
        <f>P8</f>
        <v>0</v>
      </c>
      <c r="Q37" s="147">
        <f>Q8</f>
        <v>0</v>
      </c>
      <c r="R37" s="147">
        <f aca="true" t="shared" si="13" ref="R37:AB37">R8</f>
        <v>0</v>
      </c>
      <c r="S37" s="147">
        <f t="shared" si="13"/>
        <v>0</v>
      </c>
      <c r="T37" s="147">
        <f t="shared" si="13"/>
        <v>0</v>
      </c>
      <c r="U37" s="147">
        <f t="shared" si="13"/>
        <v>0</v>
      </c>
      <c r="V37" s="147">
        <f t="shared" si="13"/>
        <v>0</v>
      </c>
      <c r="W37" s="147">
        <f t="shared" si="13"/>
        <v>0</v>
      </c>
      <c r="X37" s="147">
        <f t="shared" si="13"/>
        <v>0</v>
      </c>
      <c r="Y37" s="147">
        <f t="shared" si="13"/>
        <v>0</v>
      </c>
      <c r="Z37" s="147">
        <f t="shared" si="13"/>
        <v>0</v>
      </c>
      <c r="AA37" s="147">
        <f t="shared" si="13"/>
        <v>0</v>
      </c>
      <c r="AB37" s="147">
        <f t="shared" si="13"/>
        <v>0</v>
      </c>
    </row>
    <row r="38" spans="1:28" s="44" customFormat="1" ht="12.75">
      <c r="A38" s="16"/>
      <c r="B38" s="69" t="s">
        <v>133</v>
      </c>
      <c r="C38" s="12"/>
      <c r="D38" s="55">
        <f aca="true" t="shared" si="14" ref="D38:O38">D37-D34</f>
        <v>-0.39987423458521576</v>
      </c>
      <c r="E38" s="55">
        <f t="shared" si="14"/>
        <v>1.3919178072617786</v>
      </c>
      <c r="F38" s="55">
        <f t="shared" si="14"/>
        <v>-0.4568829657429667</v>
      </c>
      <c r="G38" s="55">
        <f t="shared" si="14"/>
        <v>-0.48257144888926584</v>
      </c>
      <c r="H38" s="55">
        <f t="shared" si="14"/>
        <v>-0.05580984665495059</v>
      </c>
      <c r="I38" s="55">
        <f t="shared" si="14"/>
        <v>2.008301501912449</v>
      </c>
      <c r="J38" s="55">
        <f t="shared" si="14"/>
        <v>-0.5819212327795729</v>
      </c>
      <c r="K38" s="55">
        <f t="shared" si="14"/>
        <v>0.06994588480434238</v>
      </c>
      <c r="L38" s="55">
        <f t="shared" si="14"/>
        <v>0.5663984613813753</v>
      </c>
      <c r="M38" s="55">
        <f t="shared" si="14"/>
        <v>5.428790514424946</v>
      </c>
      <c r="N38" s="55">
        <f t="shared" si="14"/>
        <v>-0.9743869524834139</v>
      </c>
      <c r="O38" s="55">
        <f t="shared" si="14"/>
        <v>0</v>
      </c>
      <c r="P38" s="55">
        <f aca="true" t="shared" si="15" ref="P38:AB38">P37-P34</f>
        <v>0</v>
      </c>
      <c r="Q38" s="55">
        <f t="shared" si="15"/>
        <v>0</v>
      </c>
      <c r="R38" s="55">
        <f t="shared" si="15"/>
        <v>0</v>
      </c>
      <c r="S38" s="55">
        <f t="shared" si="15"/>
        <v>0</v>
      </c>
      <c r="T38" s="55">
        <f t="shared" si="15"/>
        <v>0</v>
      </c>
      <c r="U38" s="55">
        <f t="shared" si="15"/>
        <v>0</v>
      </c>
      <c r="V38" s="55">
        <f t="shared" si="15"/>
        <v>0</v>
      </c>
      <c r="W38" s="55">
        <f t="shared" si="15"/>
        <v>0</v>
      </c>
      <c r="X38" s="55">
        <f t="shared" si="15"/>
        <v>0</v>
      </c>
      <c r="Y38" s="55">
        <f t="shared" si="15"/>
        <v>0</v>
      </c>
      <c r="Z38" s="55">
        <f t="shared" si="15"/>
        <v>0</v>
      </c>
      <c r="AA38" s="55">
        <f t="shared" si="15"/>
        <v>0</v>
      </c>
      <c r="AB38" s="55">
        <f t="shared" si="15"/>
        <v>0</v>
      </c>
    </row>
    <row r="39" spans="1:28" s="44" customFormat="1" ht="12.75">
      <c r="A39" s="16"/>
      <c r="B39" s="69" t="s">
        <v>134</v>
      </c>
      <c r="C39" s="12"/>
      <c r="D39" s="77">
        <f aca="true" t="shared" si="16" ref="D39:O39">D38*D32</f>
        <v>-15994.96938340863</v>
      </c>
      <c r="E39" s="77">
        <f t="shared" si="16"/>
        <v>29230.27395249735</v>
      </c>
      <c r="F39" s="77">
        <f t="shared" si="16"/>
        <v>-5025.712623172634</v>
      </c>
      <c r="G39" s="77">
        <f t="shared" si="16"/>
        <v>-26541.429688909622</v>
      </c>
      <c r="H39" s="77">
        <f t="shared" si="16"/>
        <v>-1339.436319718814</v>
      </c>
      <c r="I39" s="77">
        <f t="shared" si="16"/>
        <v>30124.52252868673</v>
      </c>
      <c r="J39" s="77">
        <f t="shared" si="16"/>
        <v>-15129.952052268894</v>
      </c>
      <c r="K39" s="77">
        <f t="shared" si="16"/>
        <v>944.2694448586221</v>
      </c>
      <c r="L39" s="77">
        <f t="shared" si="16"/>
        <v>14159.961534534383</v>
      </c>
      <c r="M39" s="77">
        <f t="shared" si="16"/>
        <v>4885.911462982452</v>
      </c>
      <c r="N39" s="77">
        <f t="shared" si="16"/>
        <v>-984.1308220082481</v>
      </c>
      <c r="O39" s="77">
        <f t="shared" si="16"/>
        <v>0</v>
      </c>
      <c r="P39" s="77">
        <f aca="true" t="shared" si="17" ref="P39:AB39">P38*P32</f>
        <v>0</v>
      </c>
      <c r="Q39" s="77">
        <f t="shared" si="17"/>
        <v>0</v>
      </c>
      <c r="R39" s="77">
        <f t="shared" si="17"/>
        <v>0</v>
      </c>
      <c r="S39" s="77">
        <f t="shared" si="17"/>
        <v>0</v>
      </c>
      <c r="T39" s="77">
        <f t="shared" si="17"/>
        <v>0</v>
      </c>
      <c r="U39" s="77">
        <f t="shared" si="17"/>
        <v>0</v>
      </c>
      <c r="V39" s="77">
        <f t="shared" si="17"/>
        <v>0</v>
      </c>
      <c r="W39" s="77">
        <f t="shared" si="17"/>
        <v>0</v>
      </c>
      <c r="X39" s="77">
        <f t="shared" si="17"/>
        <v>0</v>
      </c>
      <c r="Y39" s="77">
        <f t="shared" si="17"/>
        <v>0</v>
      </c>
      <c r="Z39" s="77">
        <f t="shared" si="17"/>
        <v>0</v>
      </c>
      <c r="AA39" s="77">
        <f t="shared" si="17"/>
        <v>0</v>
      </c>
      <c r="AB39" s="77">
        <f t="shared" si="17"/>
        <v>0</v>
      </c>
    </row>
    <row r="40" spans="1:28" s="44" customFormat="1" ht="12.75">
      <c r="A40" s="16"/>
      <c r="B40" s="69"/>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s="44" customFormat="1" ht="12.75">
      <c r="A41" s="16"/>
      <c r="B41" s="69" t="s">
        <v>132</v>
      </c>
      <c r="D41" s="86">
        <f>SUM(D39:AB39)</f>
        <v>14329.308034072697</v>
      </c>
      <c r="E41" s="77"/>
      <c r="F41" s="77"/>
      <c r="G41" s="77"/>
      <c r="H41" s="77"/>
      <c r="I41" s="77"/>
      <c r="J41" s="77"/>
      <c r="K41" s="77"/>
      <c r="L41" s="77"/>
      <c r="M41" s="77"/>
      <c r="N41" s="77"/>
      <c r="O41" s="77"/>
      <c r="P41" s="77"/>
      <c r="Q41" s="77"/>
      <c r="R41" s="77"/>
      <c r="S41" s="77"/>
      <c r="T41" s="77"/>
      <c r="U41" s="77"/>
      <c r="V41" s="77"/>
      <c r="W41" s="77"/>
      <c r="X41" s="77"/>
      <c r="Y41" s="77"/>
      <c r="Z41" s="77"/>
      <c r="AA41" s="77"/>
      <c r="AB41" s="77"/>
    </row>
    <row r="42" spans="1:28" s="44" customFormat="1" ht="12.75">
      <c r="A42" s="16"/>
      <c r="B42" s="69"/>
      <c r="D42" s="77"/>
      <c r="E42" s="77"/>
      <c r="F42" s="77"/>
      <c r="G42" s="77"/>
      <c r="H42" s="77"/>
      <c r="I42" s="77"/>
      <c r="J42" s="77"/>
      <c r="K42" s="77"/>
      <c r="L42" s="77"/>
      <c r="M42" s="77"/>
      <c r="N42" s="77"/>
      <c r="O42" s="77"/>
      <c r="P42" s="77"/>
      <c r="Q42" s="77"/>
      <c r="R42" s="77"/>
      <c r="S42" s="77"/>
      <c r="T42" s="77"/>
      <c r="U42" s="77"/>
      <c r="V42" s="77"/>
      <c r="W42" s="77"/>
      <c r="X42" s="77"/>
      <c r="Y42" s="77"/>
      <c r="Z42" s="77"/>
      <c r="AA42" s="77"/>
      <c r="AB42" s="77"/>
    </row>
    <row r="43" spans="2:28" s="16" customFormat="1" ht="12.75">
      <c r="B43" s="69" t="s">
        <v>96</v>
      </c>
      <c r="D43" s="76">
        <f aca="true" t="shared" si="18" ref="D43:O43">D26</f>
        <v>1.5346606255697164</v>
      </c>
      <c r="E43" s="76">
        <f t="shared" si="18"/>
        <v>2.53099173553719</v>
      </c>
      <c r="F43" s="76">
        <f t="shared" si="18"/>
        <v>4.34480292434838</v>
      </c>
      <c r="G43" s="76">
        <f t="shared" si="18"/>
        <v>2.1239703057884873</v>
      </c>
      <c r="H43" s="76">
        <f t="shared" si="18"/>
        <v>3.422865013774105</v>
      </c>
      <c r="I43" s="76">
        <f t="shared" si="18"/>
        <v>5.368935042230497</v>
      </c>
      <c r="J43" s="76">
        <f t="shared" si="18"/>
        <v>1.0067373703737341</v>
      </c>
      <c r="K43" s="76">
        <f t="shared" si="18"/>
        <v>1.9006542699724518</v>
      </c>
      <c r="L43" s="76">
        <f t="shared" si="18"/>
        <v>9.496497820361457</v>
      </c>
      <c r="M43" s="76">
        <f t="shared" si="18"/>
        <v>8.230405957678686</v>
      </c>
      <c r="N43" s="76">
        <f t="shared" si="18"/>
        <v>9.876487149214423</v>
      </c>
      <c r="O43" s="76">
        <f t="shared" si="18"/>
        <v>12.345608936518028</v>
      </c>
      <c r="P43" s="76">
        <f>P26</f>
        <v>0</v>
      </c>
      <c r="Q43" s="76">
        <f>Q26</f>
        <v>0</v>
      </c>
      <c r="R43" s="76">
        <f aca="true" t="shared" si="19" ref="R43:AB43">R26</f>
        <v>0</v>
      </c>
      <c r="S43" s="76">
        <f t="shared" si="19"/>
        <v>0</v>
      </c>
      <c r="T43" s="76">
        <f t="shared" si="19"/>
        <v>0</v>
      </c>
      <c r="U43" s="76">
        <f t="shared" si="19"/>
        <v>0</v>
      </c>
      <c r="V43" s="76">
        <f t="shared" si="19"/>
        <v>0</v>
      </c>
      <c r="W43" s="76">
        <f t="shared" si="19"/>
        <v>0</v>
      </c>
      <c r="X43" s="76">
        <f t="shared" si="19"/>
        <v>0</v>
      </c>
      <c r="Y43" s="76">
        <f t="shared" si="19"/>
        <v>0</v>
      </c>
      <c r="Z43" s="76">
        <f t="shared" si="19"/>
        <v>0</v>
      </c>
      <c r="AA43" s="76">
        <f t="shared" si="19"/>
        <v>0</v>
      </c>
      <c r="AB43" s="76">
        <f t="shared" si="19"/>
        <v>0</v>
      </c>
    </row>
    <row r="44" spans="2:15" s="16" customFormat="1" ht="12.75">
      <c r="B44" s="69" t="s">
        <v>70</v>
      </c>
      <c r="D44" s="104">
        <f>SUM(D43:AB43)</f>
        <v>62.18261715136715</v>
      </c>
      <c r="E44" s="76"/>
      <c r="F44" s="76"/>
      <c r="G44" s="76"/>
      <c r="H44" s="76"/>
      <c r="I44" s="76"/>
      <c r="J44" s="76"/>
      <c r="K44" s="76"/>
      <c r="L44" s="76"/>
      <c r="M44" s="76"/>
      <c r="N44" s="76"/>
      <c r="O44" s="76"/>
    </row>
    <row r="45" spans="2:15" s="16" customFormat="1" ht="12.75">
      <c r="B45" s="69" t="s">
        <v>100</v>
      </c>
      <c r="D45" s="77">
        <f>D41/(SUM(D43:AB43))</f>
        <v>230.43912737207222</v>
      </c>
      <c r="E45" s="55"/>
      <c r="F45" s="55"/>
      <c r="G45" s="55"/>
      <c r="H45" s="55"/>
      <c r="I45" s="55"/>
      <c r="J45" s="55"/>
      <c r="K45" s="55"/>
      <c r="L45" s="55"/>
      <c r="M45" s="55"/>
      <c r="N45" s="55"/>
      <c r="O45" s="55"/>
    </row>
  </sheetData>
  <sheetProtection sheet="1" objects="1" scenarios="1"/>
  <mergeCells count="3">
    <mergeCell ref="B12:C12"/>
    <mergeCell ref="B18:C18"/>
    <mergeCell ref="B24:C2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AB29"/>
  <sheetViews>
    <sheetView zoomScale="150" zoomScaleNormal="15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8.8515625" defaultRowHeight="12.75"/>
  <cols>
    <col min="1" max="1" width="2.00390625" style="0" customWidth="1"/>
    <col min="2" max="2" width="46.00390625" style="0" customWidth="1"/>
    <col min="3" max="3" width="1.1484375" style="0" customWidth="1"/>
    <col min="4" max="28" width="10.7109375" style="0" customWidth="1"/>
  </cols>
  <sheetData>
    <row r="1" ht="18">
      <c r="B1" s="164" t="s">
        <v>329</v>
      </c>
    </row>
    <row r="2" spans="2:28" s="39" customFormat="1" ht="29.25" customHeight="1">
      <c r="B2" s="213" t="str">
        <f>'1 Enterprises'!B3</f>
        <v>T and R Whole Sale Nursery</v>
      </c>
      <c r="D2" s="39" t="str">
        <f>'1 Enterprises'!D5</f>
        <v>Container Crop 1</v>
      </c>
      <c r="E2" s="39" t="str">
        <f>'1 Enterprises'!E5</f>
        <v>Container Crop 2</v>
      </c>
      <c r="F2" s="39" t="str">
        <f>'1 Enterprises'!F5</f>
        <v>Container Crop 3</v>
      </c>
      <c r="G2" s="39" t="str">
        <f>'1 Enterprises'!G5</f>
        <v>Container Crop 4</v>
      </c>
      <c r="H2" s="39" t="str">
        <f>'1 Enterprises'!H5</f>
        <v>Container Crop 5</v>
      </c>
      <c r="I2" s="39" t="str">
        <f>'1 Enterprises'!I5</f>
        <v>Container Crop 6</v>
      </c>
      <c r="J2" s="39" t="str">
        <f>'1 Enterprises'!J5</f>
        <v>Container Crop 7</v>
      </c>
      <c r="K2" s="39" t="str">
        <f>'1 Enterprises'!K5</f>
        <v>Container Crop 8</v>
      </c>
      <c r="L2" s="39" t="str">
        <f>'1 Enterprises'!L5</f>
        <v>Container Crop 9</v>
      </c>
      <c r="M2" s="39" t="str">
        <f>'1 Enterprises'!M5</f>
        <v>Field Crop 1</v>
      </c>
      <c r="N2" s="39" t="str">
        <f>'1 Enterprises'!N5</f>
        <v>Field Crop 2</v>
      </c>
      <c r="O2" s="39" t="str">
        <f>'1 Enterprises'!O5</f>
        <v>Field Crop 3</v>
      </c>
      <c r="P2" s="39" t="str">
        <f>'1 Enterprises'!P5</f>
        <v>Container Crop 10</v>
      </c>
      <c r="Q2" s="39" t="str">
        <f>'1 Enterprises'!Q5</f>
        <v>Container Crop 11</v>
      </c>
      <c r="R2" s="39" t="str">
        <f>'1 Enterprises'!R5</f>
        <v>Container Crop 12</v>
      </c>
      <c r="S2" s="39" t="str">
        <f>'1 Enterprises'!S5</f>
        <v>Container Crop 13</v>
      </c>
      <c r="T2" s="39" t="str">
        <f>'1 Enterprises'!T5</f>
        <v>Container Crop 14</v>
      </c>
      <c r="U2" s="39" t="str">
        <f>'1 Enterprises'!U5</f>
        <v>Container Crop 15</v>
      </c>
      <c r="V2" s="39" t="str">
        <f>'1 Enterprises'!V5</f>
        <v>Container Crop 16</v>
      </c>
      <c r="W2" s="39" t="str">
        <f>'1 Enterprises'!W5</f>
        <v>Container Crop 17</v>
      </c>
      <c r="X2" s="39" t="str">
        <f>'1 Enterprises'!X5</f>
        <v>Container Crop 18</v>
      </c>
      <c r="Y2" s="39" t="str">
        <f>'1 Enterprises'!Y5</f>
        <v>Field Crop 4</v>
      </c>
      <c r="Z2" s="39" t="str">
        <f>'1 Enterprises'!Z5</f>
        <v>Field Crop 5</v>
      </c>
      <c r="AA2" s="39" t="str">
        <f>'1 Enterprises'!AA5</f>
        <v>Field Crop 6</v>
      </c>
      <c r="AB2" s="39" t="str">
        <f>'1 Enterprises'!AB5</f>
        <v>Field Crop 7</v>
      </c>
    </row>
    <row r="3" spans="2:15" s="42" customFormat="1" ht="18.75" thickBot="1">
      <c r="B3" s="252">
        <f>'1 Enterprises'!D3</f>
        <v>2009</v>
      </c>
      <c r="D3" s="289" t="s">
        <v>150</v>
      </c>
      <c r="E3" s="289"/>
      <c r="F3" s="289"/>
      <c r="G3" s="289"/>
      <c r="H3" s="289"/>
      <c r="I3" s="289"/>
      <c r="J3" s="289"/>
      <c r="K3" s="289"/>
      <c r="L3" s="289"/>
      <c r="M3" s="289"/>
      <c r="N3" s="289"/>
      <c r="O3" s="289"/>
    </row>
    <row r="4" spans="2:15" s="42" customFormat="1" ht="18">
      <c r="B4" s="252"/>
      <c r="D4" s="253"/>
      <c r="E4" s="253"/>
      <c r="F4" s="253"/>
      <c r="G4" s="253"/>
      <c r="H4" s="253"/>
      <c r="I4" s="253"/>
      <c r="J4" s="253"/>
      <c r="K4" s="253"/>
      <c r="L4" s="253"/>
      <c r="M4" s="253"/>
      <c r="N4" s="253"/>
      <c r="O4" s="253"/>
    </row>
    <row r="5" spans="2:28" s="42" customFormat="1" ht="18">
      <c r="B5" s="254" t="s">
        <v>429</v>
      </c>
      <c r="D5" s="253">
        <f>'9 COP Summary'!D5</f>
        <v>0.9</v>
      </c>
      <c r="E5" s="253">
        <f>'9 COP Summary'!E5</f>
        <v>0.85</v>
      </c>
      <c r="F5" s="253">
        <f>'9 COP Summary'!F5</f>
        <v>0.8</v>
      </c>
      <c r="G5" s="253">
        <f>'9 COP Summary'!G5</f>
        <v>0.9</v>
      </c>
      <c r="H5" s="253">
        <f>'9 COP Summary'!H5</f>
        <v>0.85</v>
      </c>
      <c r="I5" s="253">
        <f>'9 COP Summary'!I5</f>
        <v>0.8</v>
      </c>
      <c r="J5" s="253">
        <f>'9 COP Summary'!J5</f>
        <v>0.9</v>
      </c>
      <c r="K5" s="253">
        <f>'9 COP Summary'!K5</f>
        <v>0.85</v>
      </c>
      <c r="L5" s="253">
        <f>'9 COP Summary'!L5</f>
        <v>0.8</v>
      </c>
      <c r="M5" s="253">
        <f>'9 COP Summary'!M5</f>
        <v>0.85</v>
      </c>
      <c r="N5" s="253">
        <f>'9 COP Summary'!N5</f>
        <v>0.85</v>
      </c>
      <c r="O5" s="253">
        <f>'9 COP Summary'!O5</f>
        <v>0.85</v>
      </c>
      <c r="P5" s="253">
        <f>'9 COP Summary'!P5</f>
        <v>0.85</v>
      </c>
      <c r="Q5" s="253">
        <f>'9 COP Summary'!Q5</f>
        <v>0.85</v>
      </c>
      <c r="R5" s="253">
        <f>'9 COP Summary'!R5</f>
        <v>0.85</v>
      </c>
      <c r="S5" s="253">
        <f>'9 COP Summary'!S5</f>
        <v>0.85</v>
      </c>
      <c r="T5" s="253">
        <f>'9 COP Summary'!T5</f>
        <v>0.85</v>
      </c>
      <c r="U5" s="253">
        <f>'9 COP Summary'!U5</f>
        <v>0.85</v>
      </c>
      <c r="V5" s="253">
        <f>'9 COP Summary'!V5</f>
        <v>0.85</v>
      </c>
      <c r="W5" s="253">
        <f>'9 COP Summary'!W5</f>
        <v>0.85</v>
      </c>
      <c r="X5" s="253">
        <f>'9 COP Summary'!X5</f>
        <v>0.85</v>
      </c>
      <c r="Y5" s="253">
        <f>'9 COP Summary'!Y5</f>
        <v>0.85</v>
      </c>
      <c r="Z5" s="253">
        <f>'9 COP Summary'!Z5</f>
        <v>0.85</v>
      </c>
      <c r="AA5" s="253">
        <f>'9 COP Summary'!AA5</f>
        <v>0.85</v>
      </c>
      <c r="AB5" s="253">
        <f>'9 COP Summary'!AB5</f>
        <v>0.85</v>
      </c>
    </row>
    <row r="6" spans="2:16" s="42" customFormat="1" ht="15">
      <c r="B6" s="40" t="s">
        <v>7</v>
      </c>
      <c r="D6" s="110"/>
      <c r="E6" s="110"/>
      <c r="F6" s="110"/>
      <c r="G6" s="110"/>
      <c r="H6" s="110"/>
      <c r="I6" s="110"/>
      <c r="J6" s="110"/>
      <c r="K6" s="110"/>
      <c r="L6" s="110"/>
      <c r="M6" s="110"/>
      <c r="N6" s="110"/>
      <c r="O6" s="110"/>
      <c r="P6" s="110"/>
    </row>
    <row r="7" spans="2:28" s="16" customFormat="1" ht="15">
      <c r="B7" s="120" t="s">
        <v>137</v>
      </c>
      <c r="D7" s="111">
        <f>'9 COP Summary'!D8</f>
        <v>3.1989938766817296</v>
      </c>
      <c r="E7" s="112">
        <f>'9 COP Summary'!E8</f>
        <v>9.279452048411857</v>
      </c>
      <c r="F7" s="112">
        <f>'9 COP Summary'!F8</f>
        <v>25.128563115862967</v>
      </c>
      <c r="G7" s="112">
        <f>'9 COP Summary'!G8</f>
        <v>3.645800781443634</v>
      </c>
      <c r="H7" s="112">
        <f>'9 COP Summary'!H8</f>
        <v>9.567402283705974</v>
      </c>
      <c r="I7" s="112">
        <f>'9 COP Summary'!I8</f>
        <v>25.969415973005816</v>
      </c>
      <c r="J7" s="112">
        <f>'9 COP Summary'!J8</f>
        <v>4.298281833030936</v>
      </c>
      <c r="K7" s="112">
        <f>'9 COP Summary'!K8</f>
        <v>9.887638166058915</v>
      </c>
      <c r="L7" s="112">
        <f>'9 COP Summary'!L8</f>
        <v>27.230695258720104</v>
      </c>
      <c r="M7" s="112">
        <f>'9 COP Summary'!M8</f>
        <v>97.71822925964909</v>
      </c>
      <c r="N7" s="112">
        <f>'9 COP Summary'!N8</f>
        <v>98.41308220082556</v>
      </c>
      <c r="O7" s="113">
        <f>'9 COP Summary'!O8</f>
        <v>99.45536161259027</v>
      </c>
      <c r="P7" s="113">
        <f>'9 COP Summary'!P8</f>
        <v>0</v>
      </c>
      <c r="Q7" s="113">
        <f>'9 COP Summary'!Q8</f>
        <v>0</v>
      </c>
      <c r="R7" s="113">
        <f>'9 COP Summary'!R8</f>
        <v>0</v>
      </c>
      <c r="S7" s="113">
        <f>'9 COP Summary'!S8</f>
        <v>0</v>
      </c>
      <c r="T7" s="113">
        <f>'9 COP Summary'!T8</f>
        <v>0</v>
      </c>
      <c r="U7" s="113">
        <f>'9 COP Summary'!U8</f>
        <v>0</v>
      </c>
      <c r="V7" s="113">
        <f>'9 COP Summary'!V8</f>
        <v>0</v>
      </c>
      <c r="W7" s="113">
        <f>'9 COP Summary'!W8</f>
        <v>0</v>
      </c>
      <c r="X7" s="113">
        <f>'9 COP Summary'!X8</f>
        <v>0</v>
      </c>
      <c r="Y7" s="113">
        <f>'9 COP Summary'!Y8</f>
        <v>0</v>
      </c>
      <c r="Z7" s="113">
        <f>'9 COP Summary'!Z8</f>
        <v>0</v>
      </c>
      <c r="AA7" s="113">
        <f>'9 COP Summary'!AA8</f>
        <v>0</v>
      </c>
      <c r="AB7" s="113">
        <f>'9 COP Summary'!AB8</f>
        <v>0</v>
      </c>
    </row>
    <row r="8" spans="2:28" s="16" customFormat="1" ht="15">
      <c r="B8" s="120" t="s">
        <v>135</v>
      </c>
      <c r="D8" s="114">
        <f>D7/0.9</f>
        <v>3.5544376407574774</v>
      </c>
      <c r="E8" s="115">
        <f aca="true" t="shared" si="0" ref="E8:P8">E7/0.9</f>
        <v>10.310502276013175</v>
      </c>
      <c r="F8" s="115">
        <f t="shared" si="0"/>
        <v>27.920625684292183</v>
      </c>
      <c r="G8" s="115">
        <f t="shared" si="0"/>
        <v>4.050889757159593</v>
      </c>
      <c r="H8" s="115">
        <f t="shared" si="0"/>
        <v>10.630446981895526</v>
      </c>
      <c r="I8" s="115">
        <f t="shared" si="0"/>
        <v>28.854906636673128</v>
      </c>
      <c r="J8" s="115">
        <f t="shared" si="0"/>
        <v>4.775868703367706</v>
      </c>
      <c r="K8" s="115">
        <f t="shared" si="0"/>
        <v>10.98626462895435</v>
      </c>
      <c r="L8" s="115">
        <f t="shared" si="0"/>
        <v>30.25632806524456</v>
      </c>
      <c r="M8" s="115">
        <f t="shared" si="0"/>
        <v>108.57581028849899</v>
      </c>
      <c r="N8" s="115">
        <f t="shared" si="0"/>
        <v>109.34786911202839</v>
      </c>
      <c r="O8" s="116">
        <f t="shared" si="0"/>
        <v>110.50595734732252</v>
      </c>
      <c r="P8" s="116">
        <f t="shared" si="0"/>
        <v>0</v>
      </c>
      <c r="Q8" s="116">
        <f aca="true" t="shared" si="1" ref="Q8:AB8">Q7/0.9</f>
        <v>0</v>
      </c>
      <c r="R8" s="116">
        <f t="shared" si="1"/>
        <v>0</v>
      </c>
      <c r="S8" s="116">
        <f t="shared" si="1"/>
        <v>0</v>
      </c>
      <c r="T8" s="116">
        <f t="shared" si="1"/>
        <v>0</v>
      </c>
      <c r="U8" s="116">
        <f t="shared" si="1"/>
        <v>0</v>
      </c>
      <c r="V8" s="116">
        <f t="shared" si="1"/>
        <v>0</v>
      </c>
      <c r="W8" s="116">
        <f t="shared" si="1"/>
        <v>0</v>
      </c>
      <c r="X8" s="116">
        <f t="shared" si="1"/>
        <v>0</v>
      </c>
      <c r="Y8" s="116">
        <f t="shared" si="1"/>
        <v>0</v>
      </c>
      <c r="Z8" s="116">
        <f t="shared" si="1"/>
        <v>0</v>
      </c>
      <c r="AA8" s="116">
        <f t="shared" si="1"/>
        <v>0</v>
      </c>
      <c r="AB8" s="116">
        <f t="shared" si="1"/>
        <v>0</v>
      </c>
    </row>
    <row r="9" spans="2:28" s="16" customFormat="1" ht="15">
      <c r="B9" s="120" t="s">
        <v>136</v>
      </c>
      <c r="D9" s="117">
        <f>D7/0.7</f>
        <v>4.569991252402471</v>
      </c>
      <c r="E9" s="118">
        <f aca="true" t="shared" si="2" ref="E9:O9">E7/0.7</f>
        <v>13.256360069159797</v>
      </c>
      <c r="F9" s="118">
        <f t="shared" si="2"/>
        <v>35.89794730837567</v>
      </c>
      <c r="G9" s="118">
        <f t="shared" si="2"/>
        <v>5.208286830633764</v>
      </c>
      <c r="H9" s="118">
        <f t="shared" si="2"/>
        <v>13.667717548151392</v>
      </c>
      <c r="I9" s="118">
        <f t="shared" si="2"/>
        <v>37.099165675722595</v>
      </c>
      <c r="J9" s="118">
        <f t="shared" si="2"/>
        <v>6.1404026186156235</v>
      </c>
      <c r="K9" s="118">
        <f t="shared" si="2"/>
        <v>14.125197380084165</v>
      </c>
      <c r="L9" s="118">
        <f t="shared" si="2"/>
        <v>38.900993226743005</v>
      </c>
      <c r="M9" s="118">
        <f t="shared" si="2"/>
        <v>139.59747037092728</v>
      </c>
      <c r="N9" s="118">
        <f t="shared" si="2"/>
        <v>140.5901174297508</v>
      </c>
      <c r="O9" s="119">
        <f t="shared" si="2"/>
        <v>142.0790880179861</v>
      </c>
      <c r="P9" s="119">
        <f aca="true" t="shared" si="3" ref="P9:AB9">P7/0.7</f>
        <v>0</v>
      </c>
      <c r="Q9" s="119">
        <f t="shared" si="3"/>
        <v>0</v>
      </c>
      <c r="R9" s="119">
        <f t="shared" si="3"/>
        <v>0</v>
      </c>
      <c r="S9" s="119">
        <f t="shared" si="3"/>
        <v>0</v>
      </c>
      <c r="T9" s="119">
        <f t="shared" si="3"/>
        <v>0</v>
      </c>
      <c r="U9" s="119">
        <f t="shared" si="3"/>
        <v>0</v>
      </c>
      <c r="V9" s="119">
        <f t="shared" si="3"/>
        <v>0</v>
      </c>
      <c r="W9" s="119">
        <f t="shared" si="3"/>
        <v>0</v>
      </c>
      <c r="X9" s="119">
        <f t="shared" si="3"/>
        <v>0</v>
      </c>
      <c r="Y9" s="119">
        <f t="shared" si="3"/>
        <v>0</v>
      </c>
      <c r="Z9" s="119">
        <f t="shared" si="3"/>
        <v>0</v>
      </c>
      <c r="AA9" s="119">
        <f t="shared" si="3"/>
        <v>0</v>
      </c>
      <c r="AB9" s="119">
        <f t="shared" si="3"/>
        <v>0</v>
      </c>
    </row>
    <row r="10" spans="2:28" s="16" customFormat="1" ht="15">
      <c r="B10" s="120"/>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row>
    <row r="11" spans="2:28" s="16" customFormat="1" ht="15">
      <c r="B11" s="121" t="s">
        <v>111</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ht="15">
      <c r="A12" s="16"/>
      <c r="B12" s="120" t="s">
        <v>137</v>
      </c>
      <c r="C12" s="16"/>
      <c r="D12" s="43">
        <f>'9 COP Summary'!D14</f>
        <v>2.978821198837713</v>
      </c>
      <c r="E12" s="43">
        <f>'9 COP Summary'!E14</f>
        <v>8.364041117008334</v>
      </c>
      <c r="F12" s="43">
        <f>'9 COP Summary'!F14</f>
        <v>22.62409419278715</v>
      </c>
      <c r="G12" s="43">
        <f>'9 COP Summary'!G14</f>
        <v>3.4256281035996174</v>
      </c>
      <c r="H12" s="43">
        <f>'9 COP Summary'!H14</f>
        <v>8.65199135230245</v>
      </c>
      <c r="I12" s="43">
        <f>'9 COP Summary'!I14</f>
        <v>23.464947049930004</v>
      </c>
      <c r="J12" s="43">
        <f>'9 COP Summary'!J14</f>
        <v>4.07810915518692</v>
      </c>
      <c r="K12" s="43">
        <f>'9 COP Summary'!K14</f>
        <v>8.972227234655392</v>
      </c>
      <c r="L12" s="43">
        <f>'9 COP Summary'!L14</f>
        <v>24.726226335644288</v>
      </c>
      <c r="M12" s="43">
        <f>'9 COP Summary'!M14</f>
        <v>82.09013839777575</v>
      </c>
      <c r="N12" s="43">
        <f>'9 COP Summary'!N14</f>
        <v>82.78499133895221</v>
      </c>
      <c r="O12" s="43">
        <f>'9 COP Summary'!O14</f>
        <v>83.82727075071692</v>
      </c>
      <c r="P12" s="43">
        <f>'9 COP Summary'!P14</f>
        <v>0</v>
      </c>
      <c r="Q12" s="43">
        <f>'9 COP Summary'!Q14</f>
        <v>0</v>
      </c>
      <c r="R12" s="43">
        <f>'9 COP Summary'!R14</f>
        <v>0</v>
      </c>
      <c r="S12" s="43">
        <f>'9 COP Summary'!S14</f>
        <v>0</v>
      </c>
      <c r="T12" s="43">
        <f>'9 COP Summary'!T14</f>
        <v>0</v>
      </c>
      <c r="U12" s="43">
        <f>'9 COP Summary'!U14</f>
        <v>0</v>
      </c>
      <c r="V12" s="43">
        <f>'9 COP Summary'!V14</f>
        <v>0</v>
      </c>
      <c r="W12" s="43">
        <f>'9 COP Summary'!W14</f>
        <v>0</v>
      </c>
      <c r="X12" s="43">
        <f>'9 COP Summary'!X14</f>
        <v>0</v>
      </c>
      <c r="Y12" s="43">
        <f>'9 COP Summary'!Y14</f>
        <v>0</v>
      </c>
      <c r="Z12" s="43">
        <f>'9 COP Summary'!Z14</f>
        <v>0</v>
      </c>
      <c r="AA12" s="43">
        <f>'9 COP Summary'!AA14</f>
        <v>0</v>
      </c>
      <c r="AB12" s="43">
        <f>'9 COP Summary'!AB14</f>
        <v>0</v>
      </c>
    </row>
    <row r="13" spans="1:28" ht="15">
      <c r="A13" s="16"/>
      <c r="B13" s="120" t="s">
        <v>135</v>
      </c>
      <c r="C13" s="16"/>
      <c r="D13" s="43">
        <f>D12/0.9</f>
        <v>3.309801332041903</v>
      </c>
      <c r="E13" s="43">
        <f aca="true" t="shared" si="4" ref="E13:P13">E12/0.9</f>
        <v>9.293379018898149</v>
      </c>
      <c r="F13" s="43">
        <f t="shared" si="4"/>
        <v>25.137882436430168</v>
      </c>
      <c r="G13" s="43">
        <f t="shared" si="4"/>
        <v>3.806253448444019</v>
      </c>
      <c r="H13" s="43">
        <f t="shared" si="4"/>
        <v>9.613323724780498</v>
      </c>
      <c r="I13" s="43">
        <f t="shared" si="4"/>
        <v>26.072163388811113</v>
      </c>
      <c r="J13" s="43">
        <f t="shared" si="4"/>
        <v>4.531232394652133</v>
      </c>
      <c r="K13" s="43">
        <f t="shared" si="4"/>
        <v>9.969141371839324</v>
      </c>
      <c r="L13" s="43">
        <f t="shared" si="4"/>
        <v>27.47358481738254</v>
      </c>
      <c r="M13" s="43">
        <f t="shared" si="4"/>
        <v>91.2112648864175</v>
      </c>
      <c r="N13" s="43">
        <f t="shared" si="4"/>
        <v>91.9833237099469</v>
      </c>
      <c r="O13" s="43">
        <f t="shared" si="4"/>
        <v>93.14141194524102</v>
      </c>
      <c r="P13" s="43">
        <f t="shared" si="4"/>
        <v>0</v>
      </c>
      <c r="Q13" s="43">
        <f aca="true" t="shared" si="5" ref="Q13:AB13">Q12/0.9</f>
        <v>0</v>
      </c>
      <c r="R13" s="43">
        <f t="shared" si="5"/>
        <v>0</v>
      </c>
      <c r="S13" s="43">
        <f t="shared" si="5"/>
        <v>0</v>
      </c>
      <c r="T13" s="43">
        <f t="shared" si="5"/>
        <v>0</v>
      </c>
      <c r="U13" s="43">
        <f t="shared" si="5"/>
        <v>0</v>
      </c>
      <c r="V13" s="43">
        <f t="shared" si="5"/>
        <v>0</v>
      </c>
      <c r="W13" s="43">
        <f t="shared" si="5"/>
        <v>0</v>
      </c>
      <c r="X13" s="43">
        <f t="shared" si="5"/>
        <v>0</v>
      </c>
      <c r="Y13" s="43">
        <f t="shared" si="5"/>
        <v>0</v>
      </c>
      <c r="Z13" s="43">
        <f t="shared" si="5"/>
        <v>0</v>
      </c>
      <c r="AA13" s="43">
        <f t="shared" si="5"/>
        <v>0</v>
      </c>
      <c r="AB13" s="43">
        <f t="shared" si="5"/>
        <v>0</v>
      </c>
    </row>
    <row r="14" spans="1:28" ht="15">
      <c r="A14" s="16"/>
      <c r="B14" s="120" t="s">
        <v>136</v>
      </c>
      <c r="C14" s="16"/>
      <c r="D14" s="43">
        <f>D12/0.7</f>
        <v>4.2554588554824475</v>
      </c>
      <c r="E14" s="43">
        <f aca="true" t="shared" si="6" ref="E14:O14">E12/0.7</f>
        <v>11.948630167154764</v>
      </c>
      <c r="F14" s="43">
        <f t="shared" si="6"/>
        <v>32.320134561124505</v>
      </c>
      <c r="G14" s="43">
        <f t="shared" si="6"/>
        <v>4.893754433713739</v>
      </c>
      <c r="H14" s="43">
        <f t="shared" si="6"/>
        <v>12.359987646146356</v>
      </c>
      <c r="I14" s="43">
        <f t="shared" si="6"/>
        <v>33.52135292847144</v>
      </c>
      <c r="J14" s="43">
        <f t="shared" si="6"/>
        <v>5.8258702216956</v>
      </c>
      <c r="K14" s="43">
        <f t="shared" si="6"/>
        <v>12.817467478079132</v>
      </c>
      <c r="L14" s="43">
        <f t="shared" si="6"/>
        <v>35.32318047949184</v>
      </c>
      <c r="M14" s="43">
        <f t="shared" si="6"/>
        <v>117.27162628253679</v>
      </c>
      <c r="N14" s="43">
        <f t="shared" si="6"/>
        <v>118.26427334136031</v>
      </c>
      <c r="O14" s="43">
        <f t="shared" si="6"/>
        <v>119.75324392959561</v>
      </c>
      <c r="P14" s="43">
        <f aca="true" t="shared" si="7" ref="P14:AB14">P12/0.7</f>
        <v>0</v>
      </c>
      <c r="Q14" s="43">
        <f t="shared" si="7"/>
        <v>0</v>
      </c>
      <c r="R14" s="43">
        <f t="shared" si="7"/>
        <v>0</v>
      </c>
      <c r="S14" s="43">
        <f t="shared" si="7"/>
        <v>0</v>
      </c>
      <c r="T14" s="43">
        <f t="shared" si="7"/>
        <v>0</v>
      </c>
      <c r="U14" s="43">
        <f t="shared" si="7"/>
        <v>0</v>
      </c>
      <c r="V14" s="43">
        <f t="shared" si="7"/>
        <v>0</v>
      </c>
      <c r="W14" s="43">
        <f t="shared" si="7"/>
        <v>0</v>
      </c>
      <c r="X14" s="43">
        <f t="shared" si="7"/>
        <v>0</v>
      </c>
      <c r="Y14" s="43">
        <f t="shared" si="7"/>
        <v>0</v>
      </c>
      <c r="Z14" s="43">
        <f t="shared" si="7"/>
        <v>0</v>
      </c>
      <c r="AA14" s="43">
        <f t="shared" si="7"/>
        <v>0</v>
      </c>
      <c r="AB14" s="43">
        <f t="shared" si="7"/>
        <v>0</v>
      </c>
    </row>
    <row r="15" spans="1:28" ht="1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30">
      <c r="A16" s="16"/>
      <c r="B16" s="121" t="s">
        <v>112</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5">
      <c r="A17" s="16"/>
      <c r="B17" s="120" t="s">
        <v>137</v>
      </c>
      <c r="C17" s="16"/>
      <c r="D17" s="43">
        <f>'9 COP Summary'!D20</f>
        <v>3.150727643655613</v>
      </c>
      <c r="E17" s="43">
        <f>'9 COP Summary'!E20</f>
        <v>9.078775753049365</v>
      </c>
      <c r="F17" s="43">
        <f>'9 COP Summary'!F20</f>
        <v>24.57953368209515</v>
      </c>
      <c r="G17" s="43">
        <f>'9 COP Summary'!G20</f>
        <v>3.5975345484175176</v>
      </c>
      <c r="H17" s="43">
        <f>'9 COP Summary'!H20</f>
        <v>9.36672598834348</v>
      </c>
      <c r="I17" s="43">
        <f>'9 COP Summary'!I20</f>
        <v>25.420386539238002</v>
      </c>
      <c r="J17" s="43">
        <f>'9 COP Summary'!J20</f>
        <v>4.2500156000048195</v>
      </c>
      <c r="K17" s="43">
        <f>'9 COP Summary'!K20</f>
        <v>9.686961870696424</v>
      </c>
      <c r="L17" s="43">
        <f>'9 COP Summary'!L20</f>
        <v>26.681665824952287</v>
      </c>
      <c r="M17" s="43">
        <f>'9 COP Summary'!M20</f>
        <v>94.29224070067404</v>
      </c>
      <c r="N17" s="43">
        <f>'9 COP Summary'!N20</f>
        <v>94.9870936418505</v>
      </c>
      <c r="O17" s="43">
        <f>'9 COP Summary'!O20</f>
        <v>96.02937305361522</v>
      </c>
      <c r="P17" s="43">
        <f>'9 COP Summary'!P20</f>
        <v>0</v>
      </c>
      <c r="Q17" s="43">
        <f>'9 COP Summary'!Q20</f>
        <v>0</v>
      </c>
      <c r="R17" s="43">
        <f>'9 COP Summary'!R20</f>
        <v>0</v>
      </c>
      <c r="S17" s="43">
        <f>'9 COP Summary'!S20</f>
        <v>0</v>
      </c>
      <c r="T17" s="43">
        <f>'9 COP Summary'!T20</f>
        <v>0</v>
      </c>
      <c r="U17" s="43">
        <f>'9 COP Summary'!U20</f>
        <v>0</v>
      </c>
      <c r="V17" s="43">
        <f>'9 COP Summary'!V20</f>
        <v>0</v>
      </c>
      <c r="W17" s="43">
        <f>'9 COP Summary'!W20</f>
        <v>0</v>
      </c>
      <c r="X17" s="43">
        <f>'9 COP Summary'!X20</f>
        <v>0</v>
      </c>
      <c r="Y17" s="43">
        <f>'9 COP Summary'!Y20</f>
        <v>0</v>
      </c>
      <c r="Z17" s="43">
        <f>'9 COP Summary'!Z20</f>
        <v>0</v>
      </c>
      <c r="AA17" s="43">
        <f>'9 COP Summary'!AA20</f>
        <v>0</v>
      </c>
      <c r="AB17" s="43">
        <f>'9 COP Summary'!AB20</f>
        <v>0</v>
      </c>
    </row>
    <row r="18" spans="1:28" ht="15">
      <c r="A18" s="16"/>
      <c r="B18" s="120" t="s">
        <v>135</v>
      </c>
      <c r="C18" s="16"/>
      <c r="D18" s="43">
        <f>D17/0.9</f>
        <v>3.5008084929506813</v>
      </c>
      <c r="E18" s="43">
        <f aca="true" t="shared" si="8" ref="E18:P18">E17/0.9</f>
        <v>10.087528614499295</v>
      </c>
      <c r="F18" s="43">
        <f t="shared" si="8"/>
        <v>27.31059298010572</v>
      </c>
      <c r="G18" s="43">
        <f t="shared" si="8"/>
        <v>3.9972606093527974</v>
      </c>
      <c r="H18" s="43">
        <f t="shared" si="8"/>
        <v>10.407473320381644</v>
      </c>
      <c r="I18" s="43">
        <f t="shared" si="8"/>
        <v>28.24487393248667</v>
      </c>
      <c r="J18" s="43">
        <f t="shared" si="8"/>
        <v>4.72223955556091</v>
      </c>
      <c r="K18" s="43">
        <f t="shared" si="8"/>
        <v>10.76329096744047</v>
      </c>
      <c r="L18" s="43">
        <f t="shared" si="8"/>
        <v>29.646295361058094</v>
      </c>
      <c r="M18" s="43">
        <f t="shared" si="8"/>
        <v>104.76915633408227</v>
      </c>
      <c r="N18" s="43">
        <f t="shared" si="8"/>
        <v>105.54121515761167</v>
      </c>
      <c r="O18" s="43">
        <f t="shared" si="8"/>
        <v>106.69930339290579</v>
      </c>
      <c r="P18" s="43">
        <f t="shared" si="8"/>
        <v>0</v>
      </c>
      <c r="Q18" s="43">
        <f aca="true" t="shared" si="9" ref="Q18:AB18">Q17/0.9</f>
        <v>0</v>
      </c>
      <c r="R18" s="43">
        <f t="shared" si="9"/>
        <v>0</v>
      </c>
      <c r="S18" s="43">
        <f t="shared" si="9"/>
        <v>0</v>
      </c>
      <c r="T18" s="43">
        <f t="shared" si="9"/>
        <v>0</v>
      </c>
      <c r="U18" s="43">
        <f t="shared" si="9"/>
        <v>0</v>
      </c>
      <c r="V18" s="43">
        <f t="shared" si="9"/>
        <v>0</v>
      </c>
      <c r="W18" s="43">
        <f t="shared" si="9"/>
        <v>0</v>
      </c>
      <c r="X18" s="43">
        <f t="shared" si="9"/>
        <v>0</v>
      </c>
      <c r="Y18" s="43">
        <f t="shared" si="9"/>
        <v>0</v>
      </c>
      <c r="Z18" s="43">
        <f t="shared" si="9"/>
        <v>0</v>
      </c>
      <c r="AA18" s="43">
        <f t="shared" si="9"/>
        <v>0</v>
      </c>
      <c r="AB18" s="43">
        <f t="shared" si="9"/>
        <v>0</v>
      </c>
    </row>
    <row r="19" spans="2:28" ht="15">
      <c r="B19" s="120" t="s">
        <v>136</v>
      </c>
      <c r="D19" s="43">
        <f>D17/0.7</f>
        <v>4.5010394909365905</v>
      </c>
      <c r="E19" s="43">
        <f aca="true" t="shared" si="10" ref="E19:O19">E17/0.7</f>
        <v>12.969679647213379</v>
      </c>
      <c r="F19" s="43">
        <f t="shared" si="10"/>
        <v>35.11361954585021</v>
      </c>
      <c r="G19" s="43">
        <f t="shared" si="10"/>
        <v>5.139335069167883</v>
      </c>
      <c r="H19" s="43">
        <f t="shared" si="10"/>
        <v>13.381037126204973</v>
      </c>
      <c r="I19" s="43">
        <f t="shared" si="10"/>
        <v>36.314837913197145</v>
      </c>
      <c r="J19" s="43">
        <f t="shared" si="10"/>
        <v>6.071450857149743</v>
      </c>
      <c r="K19" s="43">
        <f t="shared" si="10"/>
        <v>13.838516958137749</v>
      </c>
      <c r="L19" s="43">
        <f t="shared" si="10"/>
        <v>38.116665464217554</v>
      </c>
      <c r="M19" s="43">
        <f t="shared" si="10"/>
        <v>134.70320100096293</v>
      </c>
      <c r="N19" s="43">
        <f t="shared" si="10"/>
        <v>135.69584805978644</v>
      </c>
      <c r="O19" s="43">
        <f t="shared" si="10"/>
        <v>137.18481864802175</v>
      </c>
      <c r="P19" s="43">
        <f aca="true" t="shared" si="11" ref="P19:AB19">P17/0.7</f>
        <v>0</v>
      </c>
      <c r="Q19" s="43">
        <f t="shared" si="11"/>
        <v>0</v>
      </c>
      <c r="R19" s="43">
        <f t="shared" si="11"/>
        <v>0</v>
      </c>
      <c r="S19" s="43">
        <f t="shared" si="11"/>
        <v>0</v>
      </c>
      <c r="T19" s="43">
        <f t="shared" si="11"/>
        <v>0</v>
      </c>
      <c r="U19" s="43">
        <f t="shared" si="11"/>
        <v>0</v>
      </c>
      <c r="V19" s="43">
        <f t="shared" si="11"/>
        <v>0</v>
      </c>
      <c r="W19" s="43">
        <f t="shared" si="11"/>
        <v>0</v>
      </c>
      <c r="X19" s="43">
        <f t="shared" si="11"/>
        <v>0</v>
      </c>
      <c r="Y19" s="43">
        <f t="shared" si="11"/>
        <v>0</v>
      </c>
      <c r="Z19" s="43">
        <f t="shared" si="11"/>
        <v>0</v>
      </c>
      <c r="AA19" s="43">
        <f t="shared" si="11"/>
        <v>0</v>
      </c>
      <c r="AB19" s="43">
        <f t="shared" si="11"/>
        <v>0</v>
      </c>
    </row>
    <row r="21" ht="15">
      <c r="B21" s="16" t="s">
        <v>148</v>
      </c>
    </row>
    <row r="22" ht="15">
      <c r="B22" s="16" t="s">
        <v>149</v>
      </c>
    </row>
    <row r="24" spans="4:15" ht="18">
      <c r="D24" s="292" t="s">
        <v>167</v>
      </c>
      <c r="E24" s="293"/>
      <c r="F24" s="293"/>
      <c r="G24" s="293"/>
      <c r="H24" s="293"/>
      <c r="I24" s="293"/>
      <c r="J24" s="293"/>
      <c r="K24" s="293"/>
      <c r="L24" s="293"/>
      <c r="M24" s="293"/>
      <c r="N24" s="293"/>
      <c r="O24" s="293"/>
    </row>
    <row r="25" spans="2:5" ht="15">
      <c r="B25" s="290" t="s">
        <v>311</v>
      </c>
      <c r="C25" s="290"/>
      <c r="D25" s="291"/>
      <c r="E25" s="146">
        <v>150000</v>
      </c>
    </row>
    <row r="26" spans="2:28" ht="30">
      <c r="B26" s="42" t="s">
        <v>328</v>
      </c>
      <c r="C26" s="121"/>
      <c r="D26" s="251">
        <f>IF('9 COP Summary'!D4=0,0,$E$25*'8 Cost of Production'!D9/'9 COP Summary'!D4)</f>
        <v>0.13002323494725393</v>
      </c>
      <c r="E26" s="251">
        <f>IF('9 COP Summary'!E4=0,0,$E$25*'8 Cost of Production'!E9/'9 COP Summary'!E4)</f>
        <v>0.5405970067343644</v>
      </c>
      <c r="F26" s="251">
        <f>IF('9 COP Summary'!F4=0,0,$E$25*'8 Cost of Production'!F9/'9 COP Summary'!F4)</f>
        <v>1.4790170805565839</v>
      </c>
      <c r="G26" s="251">
        <f>IF('9 COP Summary'!G4=0,0,$E$25*'8 Cost of Production'!G9/'9 COP Summary'!G4)</f>
        <v>0.13002323494725396</v>
      </c>
      <c r="H26" s="251">
        <f>IF('9 COP Summary'!H4=0,0,$E$25*'8 Cost of Production'!H9/'9 COP Summary'!H4)</f>
        <v>0.5405970067343645</v>
      </c>
      <c r="I26" s="251">
        <f>IF('9 COP Summary'!I4=0,0,$E$25*'8 Cost of Production'!I9/'9 COP Summary'!I4)</f>
        <v>1.4790170805565837</v>
      </c>
      <c r="J26" s="251">
        <f>IF('9 COP Summary'!J4=0,0,$E$25*'8 Cost of Production'!J9/'9 COP Summary'!J4)</f>
        <v>0.13002323494725396</v>
      </c>
      <c r="K26" s="251">
        <f>IF('9 COP Summary'!K4=0,0,$E$25*'8 Cost of Production'!K9/'9 COP Summary'!K4)</f>
        <v>0.5405970067343644</v>
      </c>
      <c r="L26" s="251">
        <f>IF('9 COP Summary'!L4=0,0,$E$25*'8 Cost of Production'!L9/'9 COP Summary'!L4)</f>
        <v>1.4790170805565839</v>
      </c>
      <c r="M26" s="251">
        <f>IF('9 COP Summary'!M4=0,0,$E$25*'8 Cost of Production'!M9/'9 COP Summary'!M4)</f>
        <v>9.22918751685434</v>
      </c>
      <c r="N26" s="251">
        <f>IF('9 COP Summary'!N4=0,0,$E$25*'8 Cost of Production'!N9/'9 COP Summary'!N4)</f>
        <v>9.22918751685434</v>
      </c>
      <c r="O26" s="251">
        <f>IF('9 COP Summary'!O4=0,0,$E$25*'8 Cost of Production'!O9/'9 COP Summary'!O4)</f>
        <v>9.229187516854338</v>
      </c>
      <c r="P26" s="251">
        <f>IF('9 COP Summary'!P4=0,0,$E$25*'8 Cost of Production'!P9/'9 COP Summary'!P4)</f>
        <v>0</v>
      </c>
      <c r="Q26" s="251">
        <f>IF('9 COP Summary'!Q4=0,0,$E$25*'8 Cost of Production'!Q9/'9 COP Summary'!Q4)</f>
        <v>0</v>
      </c>
      <c r="R26" s="251">
        <f>IF('9 COP Summary'!R4=0,0,$E$25*'8 Cost of Production'!R9/'9 COP Summary'!R4)</f>
        <v>0</v>
      </c>
      <c r="S26" s="251">
        <f>IF('9 COP Summary'!S4=0,0,$E$25*'8 Cost of Production'!S9/'9 COP Summary'!S4)</f>
        <v>0</v>
      </c>
      <c r="T26" s="251">
        <f>IF('9 COP Summary'!T4=0,0,$E$25*'8 Cost of Production'!T9/'9 COP Summary'!T4)</f>
        <v>0</v>
      </c>
      <c r="U26" s="251">
        <f>IF('9 COP Summary'!U4=0,0,$E$25*'8 Cost of Production'!U9/'9 COP Summary'!U4)</f>
        <v>0</v>
      </c>
      <c r="V26" s="251">
        <f>IF('9 COP Summary'!V4=0,0,$E$25*'8 Cost of Production'!V9/'9 COP Summary'!V4)</f>
        <v>0</v>
      </c>
      <c r="W26" s="251">
        <f>IF('9 COP Summary'!W4=0,0,$E$25*'8 Cost of Production'!W9/'9 COP Summary'!W4)</f>
        <v>0</v>
      </c>
      <c r="X26" s="251">
        <f>IF('9 COP Summary'!X4=0,0,$E$25*'8 Cost of Production'!X9/'9 COP Summary'!X4)</f>
        <v>0</v>
      </c>
      <c r="Y26" s="251">
        <f>IF('9 COP Summary'!Y4=0,0,$E$25*'8 Cost of Production'!Y9/'9 COP Summary'!Y4)</f>
        <v>0</v>
      </c>
      <c r="Z26" s="251">
        <f>IF('9 COP Summary'!Z4=0,0,$E$25*'8 Cost of Production'!Z9/'9 COP Summary'!Z4)</f>
        <v>0</v>
      </c>
      <c r="AA26" s="251">
        <f>IF('9 COP Summary'!AA4=0,0,$E$25*'8 Cost of Production'!AA9/'9 COP Summary'!AA4)</f>
        <v>0</v>
      </c>
      <c r="AB26" s="251">
        <f>IF('9 COP Summary'!AB4=0,0,$E$25*'8 Cost of Production'!AB9/'9 COP Summary'!AB4)</f>
        <v>0</v>
      </c>
    </row>
    <row r="27" spans="2:28" ht="15">
      <c r="B27" s="120" t="s">
        <v>137</v>
      </c>
      <c r="D27" s="43">
        <f>D7+D26</f>
        <v>3.3290171116289837</v>
      </c>
      <c r="E27" s="43">
        <f aca="true" t="shared" si="12" ref="E27:P27">E7+E26</f>
        <v>9.820049055146221</v>
      </c>
      <c r="F27" s="43">
        <f t="shared" si="12"/>
        <v>26.60758019641955</v>
      </c>
      <c r="G27" s="43">
        <f t="shared" si="12"/>
        <v>3.7758240163908883</v>
      </c>
      <c r="H27" s="43">
        <f t="shared" si="12"/>
        <v>10.107999290440338</v>
      </c>
      <c r="I27" s="43">
        <f t="shared" si="12"/>
        <v>27.4484330535624</v>
      </c>
      <c r="J27" s="43">
        <f t="shared" si="12"/>
        <v>4.42830506797819</v>
      </c>
      <c r="K27" s="43">
        <f t="shared" si="12"/>
        <v>10.42823517279328</v>
      </c>
      <c r="L27" s="43">
        <f t="shared" si="12"/>
        <v>28.709712339276688</v>
      </c>
      <c r="M27" s="43">
        <f t="shared" si="12"/>
        <v>106.94741677650343</v>
      </c>
      <c r="N27" s="43">
        <f t="shared" si="12"/>
        <v>107.6422697176799</v>
      </c>
      <c r="O27" s="43">
        <f t="shared" si="12"/>
        <v>108.6845491294446</v>
      </c>
      <c r="P27" s="43">
        <f t="shared" si="12"/>
        <v>0</v>
      </c>
      <c r="Q27" s="43">
        <f aca="true" t="shared" si="13" ref="Q27:AB27">Q7+Q26</f>
        <v>0</v>
      </c>
      <c r="R27" s="43">
        <f t="shared" si="13"/>
        <v>0</v>
      </c>
      <c r="S27" s="43">
        <f t="shared" si="13"/>
        <v>0</v>
      </c>
      <c r="T27" s="43">
        <f t="shared" si="13"/>
        <v>0</v>
      </c>
      <c r="U27" s="43">
        <f t="shared" si="13"/>
        <v>0</v>
      </c>
      <c r="V27" s="43">
        <f t="shared" si="13"/>
        <v>0</v>
      </c>
      <c r="W27" s="43">
        <f t="shared" si="13"/>
        <v>0</v>
      </c>
      <c r="X27" s="43">
        <f t="shared" si="13"/>
        <v>0</v>
      </c>
      <c r="Y27" s="43">
        <f t="shared" si="13"/>
        <v>0</v>
      </c>
      <c r="Z27" s="43">
        <f t="shared" si="13"/>
        <v>0</v>
      </c>
      <c r="AA27" s="43">
        <f t="shared" si="13"/>
        <v>0</v>
      </c>
      <c r="AB27" s="43">
        <f t="shared" si="13"/>
        <v>0</v>
      </c>
    </row>
    <row r="28" spans="2:28" ht="15">
      <c r="B28" s="120" t="s">
        <v>135</v>
      </c>
      <c r="D28" s="43">
        <f>D27/0.9</f>
        <v>3.698907901809982</v>
      </c>
      <c r="E28" s="43">
        <f aca="true" t="shared" si="14" ref="E28:P28">E27/0.9</f>
        <v>10.911165616829134</v>
      </c>
      <c r="F28" s="43">
        <f t="shared" si="14"/>
        <v>29.563977996021723</v>
      </c>
      <c r="G28" s="43">
        <f t="shared" si="14"/>
        <v>4.195360018212098</v>
      </c>
      <c r="H28" s="43">
        <f t="shared" si="14"/>
        <v>11.231110322711487</v>
      </c>
      <c r="I28" s="43">
        <f t="shared" si="14"/>
        <v>30.498258948402665</v>
      </c>
      <c r="J28" s="43">
        <f t="shared" si="14"/>
        <v>4.920338964420211</v>
      </c>
      <c r="K28" s="43">
        <f t="shared" si="14"/>
        <v>11.58692796977031</v>
      </c>
      <c r="L28" s="43">
        <f t="shared" si="14"/>
        <v>31.899680376974096</v>
      </c>
      <c r="M28" s="43">
        <f t="shared" si="14"/>
        <v>118.83046308500381</v>
      </c>
      <c r="N28" s="43">
        <f t="shared" si="14"/>
        <v>119.60252190853322</v>
      </c>
      <c r="O28" s="43">
        <f t="shared" si="14"/>
        <v>120.76061014382734</v>
      </c>
      <c r="P28" s="43">
        <f t="shared" si="14"/>
        <v>0</v>
      </c>
      <c r="Q28" s="43">
        <f aca="true" t="shared" si="15" ref="Q28:AB28">Q27/0.9</f>
        <v>0</v>
      </c>
      <c r="R28" s="43">
        <f t="shared" si="15"/>
        <v>0</v>
      </c>
      <c r="S28" s="43">
        <f t="shared" si="15"/>
        <v>0</v>
      </c>
      <c r="T28" s="43">
        <f t="shared" si="15"/>
        <v>0</v>
      </c>
      <c r="U28" s="43">
        <f t="shared" si="15"/>
        <v>0</v>
      </c>
      <c r="V28" s="43">
        <f t="shared" si="15"/>
        <v>0</v>
      </c>
      <c r="W28" s="43">
        <f t="shared" si="15"/>
        <v>0</v>
      </c>
      <c r="X28" s="43">
        <f t="shared" si="15"/>
        <v>0</v>
      </c>
      <c r="Y28" s="43">
        <f t="shared" si="15"/>
        <v>0</v>
      </c>
      <c r="Z28" s="43">
        <f t="shared" si="15"/>
        <v>0</v>
      </c>
      <c r="AA28" s="43">
        <f t="shared" si="15"/>
        <v>0</v>
      </c>
      <c r="AB28" s="43">
        <f t="shared" si="15"/>
        <v>0</v>
      </c>
    </row>
    <row r="29" spans="2:28" ht="12.75">
      <c r="B29" s="120" t="s">
        <v>136</v>
      </c>
      <c r="D29" s="43">
        <f>D27/0.7</f>
        <v>4.755738730898549</v>
      </c>
      <c r="E29" s="43">
        <f aca="true" t="shared" si="16" ref="E29:O29">E27/0.7</f>
        <v>14.028641507351745</v>
      </c>
      <c r="F29" s="43">
        <f t="shared" si="16"/>
        <v>38.010828852027934</v>
      </c>
      <c r="G29" s="43">
        <f t="shared" si="16"/>
        <v>5.39403430912984</v>
      </c>
      <c r="H29" s="43">
        <f t="shared" si="16"/>
        <v>14.43999898634334</v>
      </c>
      <c r="I29" s="43">
        <f t="shared" si="16"/>
        <v>39.21204721937486</v>
      </c>
      <c r="J29" s="43">
        <f t="shared" si="16"/>
        <v>6.3261500971117</v>
      </c>
      <c r="K29" s="43">
        <f t="shared" si="16"/>
        <v>14.897478818276115</v>
      </c>
      <c r="L29" s="43">
        <f t="shared" si="16"/>
        <v>41.01387477039527</v>
      </c>
      <c r="M29" s="43">
        <f t="shared" si="16"/>
        <v>152.78202396643348</v>
      </c>
      <c r="N29" s="43">
        <f t="shared" si="16"/>
        <v>153.774671025257</v>
      </c>
      <c r="O29" s="43">
        <f t="shared" si="16"/>
        <v>155.2636416134923</v>
      </c>
      <c r="P29" s="43">
        <f aca="true" t="shared" si="17" ref="P29:AB29">P27/0.7</f>
        <v>0</v>
      </c>
      <c r="Q29" s="43">
        <f t="shared" si="17"/>
        <v>0</v>
      </c>
      <c r="R29" s="43">
        <f t="shared" si="17"/>
        <v>0</v>
      </c>
      <c r="S29" s="43">
        <f t="shared" si="17"/>
        <v>0</v>
      </c>
      <c r="T29" s="43">
        <f t="shared" si="17"/>
        <v>0</v>
      </c>
      <c r="U29" s="43">
        <f t="shared" si="17"/>
        <v>0</v>
      </c>
      <c r="V29" s="43">
        <f t="shared" si="17"/>
        <v>0</v>
      </c>
      <c r="W29" s="43">
        <f t="shared" si="17"/>
        <v>0</v>
      </c>
      <c r="X29" s="43">
        <f t="shared" si="17"/>
        <v>0</v>
      </c>
      <c r="Y29" s="43">
        <f t="shared" si="17"/>
        <v>0</v>
      </c>
      <c r="Z29" s="43">
        <f t="shared" si="17"/>
        <v>0</v>
      </c>
      <c r="AA29" s="43">
        <f t="shared" si="17"/>
        <v>0</v>
      </c>
      <c r="AB29" s="43">
        <f t="shared" si="17"/>
        <v>0</v>
      </c>
    </row>
  </sheetData>
  <sheetProtection sheet="1" objects="1" scenarios="1"/>
  <mergeCells count="3">
    <mergeCell ref="D3:O3"/>
    <mergeCell ref="B25:D25"/>
    <mergeCell ref="D24:O24"/>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B1:AB24"/>
  <sheetViews>
    <sheetView zoomScale="150" zoomScaleNormal="15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3.7109375" defaultRowHeight="12.75"/>
  <cols>
    <col min="1" max="1" width="2.28125" style="181" customWidth="1"/>
    <col min="2" max="2" width="46.421875" style="181" customWidth="1"/>
    <col min="3" max="3" width="2.7109375" style="181" customWidth="1"/>
    <col min="4" max="16384" width="13.7109375" style="181" customWidth="1"/>
  </cols>
  <sheetData>
    <row r="1" ht="18">
      <c r="B1" s="195" t="s">
        <v>301</v>
      </c>
    </row>
    <row r="2" spans="2:5" ht="12.75">
      <c r="B2" s="225" t="s">
        <v>352</v>
      </c>
      <c r="C2" s="172"/>
      <c r="D2" s="172" t="s">
        <v>353</v>
      </c>
      <c r="E2" s="172" t="s">
        <v>354</v>
      </c>
    </row>
    <row r="3" spans="2:7" ht="18">
      <c r="B3" s="228" t="s">
        <v>357</v>
      </c>
      <c r="C3" s="227"/>
      <c r="D3" s="229">
        <v>2009</v>
      </c>
      <c r="E3" s="230">
        <v>39696</v>
      </c>
      <c r="F3"/>
      <c r="G3"/>
    </row>
    <row r="4" spans="4:28" s="182" customFormat="1" ht="15">
      <c r="D4" s="182" t="s">
        <v>227</v>
      </c>
      <c r="E4" s="182" t="s">
        <v>228</v>
      </c>
      <c r="F4" s="182" t="s">
        <v>373</v>
      </c>
      <c r="G4" s="182" t="s">
        <v>374</v>
      </c>
      <c r="H4" s="182" t="s">
        <v>375</v>
      </c>
      <c r="I4" s="182" t="s">
        <v>376</v>
      </c>
      <c r="J4" s="182" t="s">
        <v>229</v>
      </c>
      <c r="K4" s="182" t="s">
        <v>230</v>
      </c>
      <c r="L4" s="182" t="s">
        <v>231</v>
      </c>
      <c r="M4" s="182" t="s">
        <v>232</v>
      </c>
      <c r="N4" s="182" t="s">
        <v>378</v>
      </c>
      <c r="O4" s="182" t="s">
        <v>379</v>
      </c>
      <c r="P4" s="182" t="s">
        <v>380</v>
      </c>
      <c r="Q4" s="182" t="s">
        <v>381</v>
      </c>
      <c r="R4" s="182" t="s">
        <v>238</v>
      </c>
      <c r="S4" s="182" t="s">
        <v>239</v>
      </c>
      <c r="T4" s="182" t="s">
        <v>240</v>
      </c>
      <c r="U4" s="182" t="s">
        <v>241</v>
      </c>
      <c r="V4" s="182" t="s">
        <v>242</v>
      </c>
      <c r="W4" s="182" t="s">
        <v>243</v>
      </c>
      <c r="X4" s="182" t="s">
        <v>244</v>
      </c>
      <c r="Y4" s="182" t="s">
        <v>245</v>
      </c>
      <c r="Z4" s="182" t="s">
        <v>246</v>
      </c>
      <c r="AA4" s="182" t="s">
        <v>247</v>
      </c>
      <c r="AB4" s="182" t="s">
        <v>248</v>
      </c>
    </row>
    <row r="5" spans="2:28" ht="30">
      <c r="B5" s="185" t="s">
        <v>400</v>
      </c>
      <c r="C5" s="184"/>
      <c r="D5" s="154" t="s">
        <v>362</v>
      </c>
      <c r="E5" s="154" t="s">
        <v>186</v>
      </c>
      <c r="F5" s="154" t="s">
        <v>187</v>
      </c>
      <c r="G5" s="154" t="s">
        <v>188</v>
      </c>
      <c r="H5" s="154" t="s">
        <v>189</v>
      </c>
      <c r="I5" s="154" t="s">
        <v>190</v>
      </c>
      <c r="J5" s="154" t="s">
        <v>191</v>
      </c>
      <c r="K5" s="154" t="s">
        <v>192</v>
      </c>
      <c r="L5" s="154" t="s">
        <v>193</v>
      </c>
      <c r="M5" s="154" t="s">
        <v>363</v>
      </c>
      <c r="N5" s="154" t="s">
        <v>364</v>
      </c>
      <c r="O5" s="154" t="s">
        <v>365</v>
      </c>
      <c r="P5" s="154" t="s">
        <v>366</v>
      </c>
      <c r="Q5" s="154" t="s">
        <v>367</v>
      </c>
      <c r="R5" s="154" t="s">
        <v>368</v>
      </c>
      <c r="S5" s="154" t="s">
        <v>369</v>
      </c>
      <c r="T5" s="154" t="s">
        <v>370</v>
      </c>
      <c r="U5" s="154" t="s">
        <v>217</v>
      </c>
      <c r="V5" s="154" t="s">
        <v>218</v>
      </c>
      <c r="W5" s="154" t="s">
        <v>219</v>
      </c>
      <c r="X5" s="154" t="s">
        <v>220</v>
      </c>
      <c r="Y5" s="154" t="s">
        <v>221</v>
      </c>
      <c r="Z5" s="154" t="s">
        <v>222</v>
      </c>
      <c r="AA5" s="154" t="s">
        <v>223</v>
      </c>
      <c r="AB5" s="154" t="s">
        <v>224</v>
      </c>
    </row>
    <row r="6" spans="2:28" ht="15">
      <c r="B6" s="185" t="s">
        <v>109</v>
      </c>
      <c r="C6" s="186"/>
      <c r="D6" s="154">
        <v>50000</v>
      </c>
      <c r="E6" s="154">
        <v>21000</v>
      </c>
      <c r="F6" s="154">
        <v>14000</v>
      </c>
      <c r="G6" s="154">
        <v>69200</v>
      </c>
      <c r="H6" s="154">
        <v>28400</v>
      </c>
      <c r="I6" s="154">
        <v>17300</v>
      </c>
      <c r="J6" s="154">
        <v>32800</v>
      </c>
      <c r="K6" s="154">
        <v>15770</v>
      </c>
      <c r="L6" s="154">
        <v>30600</v>
      </c>
      <c r="M6" s="154">
        <v>1000</v>
      </c>
      <c r="N6" s="154">
        <v>1200</v>
      </c>
      <c r="O6" s="154">
        <v>1500</v>
      </c>
      <c r="P6" s="154">
        <v>0</v>
      </c>
      <c r="Q6" s="154">
        <v>0</v>
      </c>
      <c r="R6" s="154">
        <v>0</v>
      </c>
      <c r="S6" s="154">
        <v>0</v>
      </c>
      <c r="T6" s="154">
        <v>0</v>
      </c>
      <c r="U6" s="154">
        <v>0</v>
      </c>
      <c r="V6" s="154">
        <v>0</v>
      </c>
      <c r="W6" s="154">
        <v>0</v>
      </c>
      <c r="X6" s="154">
        <v>0</v>
      </c>
      <c r="Y6" s="154">
        <v>0</v>
      </c>
      <c r="Z6" s="154">
        <v>0</v>
      </c>
      <c r="AA6" s="154">
        <v>0</v>
      </c>
      <c r="AB6" s="154">
        <v>0</v>
      </c>
    </row>
    <row r="7" spans="2:28" ht="15">
      <c r="B7" s="185" t="s">
        <v>318</v>
      </c>
      <c r="C7" s="185"/>
      <c r="D7" s="161" t="s">
        <v>319</v>
      </c>
      <c r="E7" s="161" t="s">
        <v>319</v>
      </c>
      <c r="F7" s="161" t="s">
        <v>319</v>
      </c>
      <c r="G7" s="161" t="s">
        <v>319</v>
      </c>
      <c r="H7" s="161" t="s">
        <v>319</v>
      </c>
      <c r="I7" s="161" t="s">
        <v>319</v>
      </c>
      <c r="J7" s="161" t="s">
        <v>319</v>
      </c>
      <c r="K7" s="161" t="s">
        <v>319</v>
      </c>
      <c r="L7" s="161" t="s">
        <v>319</v>
      </c>
      <c r="M7" s="161" t="s">
        <v>407</v>
      </c>
      <c r="N7" s="161" t="s">
        <v>407</v>
      </c>
      <c r="O7" s="161" t="s">
        <v>407</v>
      </c>
      <c r="P7" s="161" t="s">
        <v>319</v>
      </c>
      <c r="Q7" s="161" t="s">
        <v>319</v>
      </c>
      <c r="R7" s="161" t="s">
        <v>319</v>
      </c>
      <c r="S7" s="161" t="s">
        <v>319</v>
      </c>
      <c r="T7" s="161" t="s">
        <v>319</v>
      </c>
      <c r="U7" s="161" t="s">
        <v>319</v>
      </c>
      <c r="V7" s="161" t="s">
        <v>319</v>
      </c>
      <c r="W7" s="161" t="s">
        <v>319</v>
      </c>
      <c r="X7" s="161" t="s">
        <v>319</v>
      </c>
      <c r="Y7" s="161" t="s">
        <v>408</v>
      </c>
      <c r="Z7" s="161" t="s">
        <v>408</v>
      </c>
      <c r="AA7" s="161" t="s">
        <v>408</v>
      </c>
      <c r="AB7" s="161" t="s">
        <v>408</v>
      </c>
    </row>
    <row r="8" spans="2:28" ht="15">
      <c r="B8" s="185" t="s">
        <v>168</v>
      </c>
      <c r="C8" s="185"/>
      <c r="D8" s="161">
        <v>1</v>
      </c>
      <c r="E8" s="161">
        <v>1</v>
      </c>
      <c r="F8" s="161">
        <v>1</v>
      </c>
      <c r="G8" s="161">
        <v>1</v>
      </c>
      <c r="H8" s="161">
        <v>1</v>
      </c>
      <c r="I8" s="161">
        <v>1</v>
      </c>
      <c r="J8" s="161">
        <v>1</v>
      </c>
      <c r="K8" s="161">
        <v>1</v>
      </c>
      <c r="L8" s="161">
        <v>1</v>
      </c>
      <c r="M8" s="161">
        <v>1</v>
      </c>
      <c r="N8" s="161">
        <v>1</v>
      </c>
      <c r="O8" s="161">
        <v>1</v>
      </c>
      <c r="P8" s="161">
        <v>1</v>
      </c>
      <c r="Q8" s="161">
        <v>1</v>
      </c>
      <c r="R8" s="161">
        <v>1</v>
      </c>
      <c r="S8" s="161">
        <v>1</v>
      </c>
      <c r="T8" s="161">
        <v>1</v>
      </c>
      <c r="U8" s="161">
        <v>1</v>
      </c>
      <c r="V8" s="161">
        <v>1</v>
      </c>
      <c r="W8" s="161">
        <v>1</v>
      </c>
      <c r="X8" s="161">
        <v>1</v>
      </c>
      <c r="Y8" s="161">
        <v>1</v>
      </c>
      <c r="Z8" s="161">
        <v>1</v>
      </c>
      <c r="AA8" s="161">
        <v>1</v>
      </c>
      <c r="AB8" s="161">
        <v>1</v>
      </c>
    </row>
    <row r="9" spans="2:28" ht="15">
      <c r="B9" s="185" t="s">
        <v>197</v>
      </c>
      <c r="C9" s="186"/>
      <c r="D9" s="154" t="s">
        <v>198</v>
      </c>
      <c r="E9" s="154" t="s">
        <v>199</v>
      </c>
      <c r="F9" s="154" t="s">
        <v>200</v>
      </c>
      <c r="G9" s="154" t="s">
        <v>198</v>
      </c>
      <c r="H9" s="154" t="s">
        <v>199</v>
      </c>
      <c r="I9" s="154" t="s">
        <v>200</v>
      </c>
      <c r="J9" s="154" t="s">
        <v>198</v>
      </c>
      <c r="K9" s="154" t="s">
        <v>199</v>
      </c>
      <c r="L9" s="154" t="s">
        <v>200</v>
      </c>
      <c r="M9" s="154" t="s">
        <v>201</v>
      </c>
      <c r="N9" s="154" t="s">
        <v>201</v>
      </c>
      <c r="O9" s="154" t="s">
        <v>201</v>
      </c>
      <c r="P9" s="154" t="s">
        <v>198</v>
      </c>
      <c r="Q9" s="154" t="s">
        <v>199</v>
      </c>
      <c r="R9" s="154" t="s">
        <v>200</v>
      </c>
      <c r="S9" s="154" t="s">
        <v>198</v>
      </c>
      <c r="T9" s="154" t="s">
        <v>199</v>
      </c>
      <c r="U9" s="154" t="s">
        <v>200</v>
      </c>
      <c r="V9" s="154" t="s">
        <v>198</v>
      </c>
      <c r="W9" s="154" t="s">
        <v>199</v>
      </c>
      <c r="X9" s="154" t="s">
        <v>200</v>
      </c>
      <c r="Y9" s="154" t="s">
        <v>201</v>
      </c>
      <c r="Z9" s="154" t="s">
        <v>201</v>
      </c>
      <c r="AA9" s="154" t="s">
        <v>201</v>
      </c>
      <c r="AB9" s="154" t="s">
        <v>201</v>
      </c>
    </row>
    <row r="10" spans="2:28" ht="15">
      <c r="B10" s="185" t="s">
        <v>11</v>
      </c>
      <c r="C10" s="186"/>
      <c r="D10" s="161">
        <v>1</v>
      </c>
      <c r="E10" s="161">
        <v>1.5</v>
      </c>
      <c r="F10" s="161">
        <v>2.25</v>
      </c>
      <c r="G10" s="161">
        <v>1</v>
      </c>
      <c r="H10" s="161">
        <v>1.5</v>
      </c>
      <c r="I10" s="161">
        <v>2.25</v>
      </c>
      <c r="J10" s="161">
        <v>1</v>
      </c>
      <c r="K10" s="161">
        <v>1.5</v>
      </c>
      <c r="L10" s="161">
        <v>2.25</v>
      </c>
      <c r="M10" s="161">
        <v>6</v>
      </c>
      <c r="N10" s="161">
        <v>6</v>
      </c>
      <c r="O10" s="161">
        <v>6</v>
      </c>
      <c r="P10" s="161">
        <v>1</v>
      </c>
      <c r="Q10" s="161">
        <v>1.5</v>
      </c>
      <c r="R10" s="161">
        <v>2.25</v>
      </c>
      <c r="S10" s="161">
        <v>1</v>
      </c>
      <c r="T10" s="161">
        <v>1.5</v>
      </c>
      <c r="U10" s="161">
        <v>2.25</v>
      </c>
      <c r="V10" s="161">
        <v>1</v>
      </c>
      <c r="W10" s="161">
        <v>1.5</v>
      </c>
      <c r="X10" s="161">
        <v>2.25</v>
      </c>
      <c r="Y10" s="161">
        <v>6</v>
      </c>
      <c r="Z10" s="161">
        <v>6</v>
      </c>
      <c r="AA10" s="161">
        <v>6</v>
      </c>
      <c r="AB10" s="161">
        <v>6</v>
      </c>
    </row>
    <row r="11" spans="2:28" ht="15">
      <c r="B11" s="185" t="s">
        <v>12</v>
      </c>
      <c r="C11" s="186"/>
      <c r="D11" s="161">
        <v>1</v>
      </c>
      <c r="E11" s="161">
        <v>1.5</v>
      </c>
      <c r="F11" s="161">
        <v>2.25</v>
      </c>
      <c r="G11" s="161">
        <v>1</v>
      </c>
      <c r="H11" s="161">
        <v>1.5</v>
      </c>
      <c r="I11" s="161">
        <v>2.25</v>
      </c>
      <c r="J11" s="161">
        <v>1</v>
      </c>
      <c r="K11" s="161">
        <v>1.5</v>
      </c>
      <c r="L11" s="161">
        <v>2.25</v>
      </c>
      <c r="M11" s="161">
        <v>15</v>
      </c>
      <c r="N11" s="161">
        <v>15</v>
      </c>
      <c r="O11" s="161">
        <v>15</v>
      </c>
      <c r="P11" s="161">
        <v>1</v>
      </c>
      <c r="Q11" s="161">
        <v>1.5</v>
      </c>
      <c r="R11" s="161">
        <v>2.25</v>
      </c>
      <c r="S11" s="161">
        <v>1</v>
      </c>
      <c r="T11" s="161">
        <v>1.5</v>
      </c>
      <c r="U11" s="161">
        <v>2.25</v>
      </c>
      <c r="V11" s="161">
        <v>1</v>
      </c>
      <c r="W11" s="161">
        <v>1.5</v>
      </c>
      <c r="X11" s="161">
        <v>2.25</v>
      </c>
      <c r="Y11" s="161">
        <v>15</v>
      </c>
      <c r="Z11" s="161">
        <v>15</v>
      </c>
      <c r="AA11" s="161">
        <v>15</v>
      </c>
      <c r="AB11" s="161">
        <v>15</v>
      </c>
    </row>
    <row r="12" spans="2:28" ht="15">
      <c r="B12" s="185" t="s">
        <v>0</v>
      </c>
      <c r="C12" s="186"/>
      <c r="D12" s="157">
        <v>0.75</v>
      </c>
      <c r="E12" s="157">
        <v>0.75</v>
      </c>
      <c r="F12" s="157">
        <v>0.75</v>
      </c>
      <c r="G12" s="157">
        <v>0.75</v>
      </c>
      <c r="H12" s="157">
        <v>0.75</v>
      </c>
      <c r="I12" s="157">
        <v>0.75</v>
      </c>
      <c r="J12" s="157">
        <v>0.75</v>
      </c>
      <c r="K12" s="157">
        <v>0.75</v>
      </c>
      <c r="L12" s="157">
        <v>0.75</v>
      </c>
      <c r="M12" s="157">
        <v>0.7</v>
      </c>
      <c r="N12" s="157">
        <v>0.7</v>
      </c>
      <c r="O12" s="157">
        <v>0.7</v>
      </c>
      <c r="P12" s="157">
        <v>0.75</v>
      </c>
      <c r="Q12" s="157">
        <v>0.75</v>
      </c>
      <c r="R12" s="157">
        <v>0.75</v>
      </c>
      <c r="S12" s="157">
        <v>0.75</v>
      </c>
      <c r="T12" s="157">
        <v>0.75</v>
      </c>
      <c r="U12" s="157">
        <v>0.75</v>
      </c>
      <c r="V12" s="157">
        <v>0.75</v>
      </c>
      <c r="W12" s="157">
        <v>0.75</v>
      </c>
      <c r="X12" s="157">
        <v>0.75</v>
      </c>
      <c r="Y12" s="157">
        <v>0.7</v>
      </c>
      <c r="Z12" s="157">
        <v>0.7</v>
      </c>
      <c r="AA12" s="157">
        <v>0.7</v>
      </c>
      <c r="AB12" s="157">
        <v>0.7</v>
      </c>
    </row>
    <row r="13" spans="2:28" ht="12.75">
      <c r="B13" s="187" t="s">
        <v>194</v>
      </c>
      <c r="C13" s="188"/>
      <c r="D13" s="189">
        <f>IF(D5&gt;0,(D10*D11/D12),0)</f>
        <v>1.3333333333333333</v>
      </c>
      <c r="E13" s="189">
        <f aca="true" t="shared" si="0" ref="E13:AB13">IF(E5&gt;0,(E10*E11/E12),0)</f>
        <v>3</v>
      </c>
      <c r="F13" s="189">
        <f t="shared" si="0"/>
        <v>6.75</v>
      </c>
      <c r="G13" s="189">
        <f t="shared" si="0"/>
        <v>1.3333333333333333</v>
      </c>
      <c r="H13" s="189">
        <f t="shared" si="0"/>
        <v>3</v>
      </c>
      <c r="I13" s="189">
        <f t="shared" si="0"/>
        <v>6.75</v>
      </c>
      <c r="J13" s="189">
        <f t="shared" si="0"/>
        <v>1.3333333333333333</v>
      </c>
      <c r="K13" s="189">
        <f t="shared" si="0"/>
        <v>3</v>
      </c>
      <c r="L13" s="189">
        <f t="shared" si="0"/>
        <v>6.75</v>
      </c>
      <c r="M13" s="189">
        <f t="shared" si="0"/>
        <v>128.57142857142858</v>
      </c>
      <c r="N13" s="189">
        <f t="shared" si="0"/>
        <v>128.57142857142858</v>
      </c>
      <c r="O13" s="189">
        <f t="shared" si="0"/>
        <v>128.57142857142858</v>
      </c>
      <c r="P13" s="189">
        <f t="shared" si="0"/>
        <v>1.3333333333333333</v>
      </c>
      <c r="Q13" s="189">
        <f t="shared" si="0"/>
        <v>3</v>
      </c>
      <c r="R13" s="189">
        <f t="shared" si="0"/>
        <v>6.75</v>
      </c>
      <c r="S13" s="189">
        <f t="shared" si="0"/>
        <v>1.3333333333333333</v>
      </c>
      <c r="T13" s="189">
        <f t="shared" si="0"/>
        <v>3</v>
      </c>
      <c r="U13" s="189">
        <f t="shared" si="0"/>
        <v>6.75</v>
      </c>
      <c r="V13" s="189">
        <f t="shared" si="0"/>
        <v>1.3333333333333333</v>
      </c>
      <c r="W13" s="189">
        <f t="shared" si="0"/>
        <v>3</v>
      </c>
      <c r="X13" s="189">
        <f t="shared" si="0"/>
        <v>6.75</v>
      </c>
      <c r="Y13" s="189">
        <f t="shared" si="0"/>
        <v>128.57142857142858</v>
      </c>
      <c r="Z13" s="189">
        <f t="shared" si="0"/>
        <v>128.57142857142858</v>
      </c>
      <c r="AA13" s="189">
        <f t="shared" si="0"/>
        <v>128.57142857142858</v>
      </c>
      <c r="AB13" s="189">
        <f t="shared" si="0"/>
        <v>128.57142857142858</v>
      </c>
    </row>
    <row r="14" spans="2:28" ht="12.75">
      <c r="B14" s="185" t="s">
        <v>44</v>
      </c>
      <c r="C14" s="186"/>
      <c r="D14" s="190">
        <f aca="true" t="shared" si="1" ref="D14:AB14">IF(D13&gt;0,(43560/D13),0)</f>
        <v>32670</v>
      </c>
      <c r="E14" s="190">
        <f t="shared" si="1"/>
        <v>14520</v>
      </c>
      <c r="F14" s="190">
        <f t="shared" si="1"/>
        <v>6453.333333333333</v>
      </c>
      <c r="G14" s="190">
        <f t="shared" si="1"/>
        <v>32670</v>
      </c>
      <c r="H14" s="190">
        <f t="shared" si="1"/>
        <v>14520</v>
      </c>
      <c r="I14" s="190">
        <f t="shared" si="1"/>
        <v>6453.333333333333</v>
      </c>
      <c r="J14" s="190">
        <f t="shared" si="1"/>
        <v>32670</v>
      </c>
      <c r="K14" s="190">
        <f t="shared" si="1"/>
        <v>14520</v>
      </c>
      <c r="L14" s="190">
        <f t="shared" si="1"/>
        <v>6453.333333333333</v>
      </c>
      <c r="M14" s="190">
        <f t="shared" si="1"/>
        <v>338.79999999999995</v>
      </c>
      <c r="N14" s="190">
        <f t="shared" si="1"/>
        <v>338.79999999999995</v>
      </c>
      <c r="O14" s="190">
        <f t="shared" si="1"/>
        <v>338.79999999999995</v>
      </c>
      <c r="P14" s="190">
        <f t="shared" si="1"/>
        <v>32670</v>
      </c>
      <c r="Q14" s="190">
        <f t="shared" si="1"/>
        <v>14520</v>
      </c>
      <c r="R14" s="190">
        <f t="shared" si="1"/>
        <v>6453.333333333333</v>
      </c>
      <c r="S14" s="190">
        <f t="shared" si="1"/>
        <v>32670</v>
      </c>
      <c r="T14" s="190">
        <f t="shared" si="1"/>
        <v>14520</v>
      </c>
      <c r="U14" s="190">
        <f t="shared" si="1"/>
        <v>6453.333333333333</v>
      </c>
      <c r="V14" s="190">
        <f t="shared" si="1"/>
        <v>32670</v>
      </c>
      <c r="W14" s="190">
        <f t="shared" si="1"/>
        <v>14520</v>
      </c>
      <c r="X14" s="190">
        <f t="shared" si="1"/>
        <v>6453.333333333333</v>
      </c>
      <c r="Y14" s="190">
        <f t="shared" si="1"/>
        <v>338.79999999999995</v>
      </c>
      <c r="Z14" s="190">
        <f t="shared" si="1"/>
        <v>338.79999999999995</v>
      </c>
      <c r="AA14" s="190">
        <f t="shared" si="1"/>
        <v>338.79999999999995</v>
      </c>
      <c r="AB14" s="190">
        <f t="shared" si="1"/>
        <v>338.79999999999995</v>
      </c>
    </row>
    <row r="15" spans="2:28" ht="15">
      <c r="B15" s="185" t="s">
        <v>161</v>
      </c>
      <c r="C15" s="186"/>
      <c r="D15" s="157">
        <v>0.9</v>
      </c>
      <c r="E15" s="157">
        <v>0.85</v>
      </c>
      <c r="F15" s="157">
        <v>0.8</v>
      </c>
      <c r="G15" s="157">
        <v>0.9</v>
      </c>
      <c r="H15" s="157">
        <v>0.85</v>
      </c>
      <c r="I15" s="157">
        <v>0.8</v>
      </c>
      <c r="J15" s="157">
        <v>0.9</v>
      </c>
      <c r="K15" s="157">
        <v>0.85</v>
      </c>
      <c r="L15" s="157">
        <v>0.8</v>
      </c>
      <c r="M15" s="157">
        <v>0.85</v>
      </c>
      <c r="N15" s="157">
        <v>0.85</v>
      </c>
      <c r="O15" s="157">
        <v>0.85</v>
      </c>
      <c r="P15" s="157">
        <v>0.85</v>
      </c>
      <c r="Q15" s="157">
        <v>0.85</v>
      </c>
      <c r="R15" s="157">
        <v>0.85</v>
      </c>
      <c r="S15" s="157">
        <v>0.85</v>
      </c>
      <c r="T15" s="157">
        <v>0.85</v>
      </c>
      <c r="U15" s="157">
        <v>0.85</v>
      </c>
      <c r="V15" s="157">
        <v>0.85</v>
      </c>
      <c r="W15" s="157">
        <v>0.85</v>
      </c>
      <c r="X15" s="157">
        <v>0.85</v>
      </c>
      <c r="Y15" s="157">
        <v>0.85</v>
      </c>
      <c r="Z15" s="157">
        <v>0.85</v>
      </c>
      <c r="AA15" s="157">
        <v>0.85</v>
      </c>
      <c r="AB15" s="157">
        <v>0.85</v>
      </c>
    </row>
    <row r="16" spans="2:28" ht="12.75">
      <c r="B16" s="185" t="s">
        <v>3</v>
      </c>
      <c r="C16" s="186"/>
      <c r="D16" s="190">
        <f aca="true" t="shared" si="2" ref="D16:AB16">D6*D15</f>
        <v>45000</v>
      </c>
      <c r="E16" s="190">
        <f t="shared" si="2"/>
        <v>17850</v>
      </c>
      <c r="F16" s="190">
        <f t="shared" si="2"/>
        <v>11200</v>
      </c>
      <c r="G16" s="190">
        <f t="shared" si="2"/>
        <v>62280</v>
      </c>
      <c r="H16" s="190">
        <f t="shared" si="2"/>
        <v>24140</v>
      </c>
      <c r="I16" s="190">
        <f t="shared" si="2"/>
        <v>13840</v>
      </c>
      <c r="J16" s="190">
        <f t="shared" si="2"/>
        <v>29520</v>
      </c>
      <c r="K16" s="190">
        <f t="shared" si="2"/>
        <v>13404.5</v>
      </c>
      <c r="L16" s="190">
        <f t="shared" si="2"/>
        <v>24480</v>
      </c>
      <c r="M16" s="190">
        <f t="shared" si="2"/>
        <v>850</v>
      </c>
      <c r="N16" s="190">
        <f t="shared" si="2"/>
        <v>1020</v>
      </c>
      <c r="O16" s="190">
        <f t="shared" si="2"/>
        <v>1275</v>
      </c>
      <c r="P16" s="190">
        <f t="shared" si="2"/>
        <v>0</v>
      </c>
      <c r="Q16" s="190">
        <f t="shared" si="2"/>
        <v>0</v>
      </c>
      <c r="R16" s="190">
        <f t="shared" si="2"/>
        <v>0</v>
      </c>
      <c r="S16" s="190">
        <f t="shared" si="2"/>
        <v>0</v>
      </c>
      <c r="T16" s="190">
        <f t="shared" si="2"/>
        <v>0</v>
      </c>
      <c r="U16" s="190">
        <f t="shared" si="2"/>
        <v>0</v>
      </c>
      <c r="V16" s="190">
        <f t="shared" si="2"/>
        <v>0</v>
      </c>
      <c r="W16" s="190">
        <f t="shared" si="2"/>
        <v>0</v>
      </c>
      <c r="X16" s="190">
        <f t="shared" si="2"/>
        <v>0</v>
      </c>
      <c r="Y16" s="190">
        <f t="shared" si="2"/>
        <v>0</v>
      </c>
      <c r="Z16" s="190">
        <f t="shared" si="2"/>
        <v>0</v>
      </c>
      <c r="AA16" s="190">
        <f t="shared" si="2"/>
        <v>0</v>
      </c>
      <c r="AB16" s="190">
        <f t="shared" si="2"/>
        <v>0</v>
      </c>
    </row>
    <row r="17" spans="2:28" ht="15">
      <c r="B17" s="185" t="s">
        <v>324</v>
      </c>
      <c r="C17" s="185"/>
      <c r="D17" s="155">
        <v>3.15</v>
      </c>
      <c r="E17" s="155">
        <v>8.75</v>
      </c>
      <c r="F17" s="155">
        <v>22</v>
      </c>
      <c r="G17" s="155">
        <v>4.05</v>
      </c>
      <c r="H17" s="155">
        <v>9.35</v>
      </c>
      <c r="I17" s="155">
        <v>23</v>
      </c>
      <c r="J17" s="155">
        <v>4.5</v>
      </c>
      <c r="K17" s="155">
        <v>9.75</v>
      </c>
      <c r="L17" s="155">
        <v>25</v>
      </c>
      <c r="M17" s="155">
        <v>85</v>
      </c>
      <c r="N17" s="155">
        <v>95</v>
      </c>
      <c r="O17" s="155">
        <v>100</v>
      </c>
      <c r="P17" s="155">
        <v>3.15</v>
      </c>
      <c r="Q17" s="155">
        <v>8.75</v>
      </c>
      <c r="R17" s="155">
        <v>22</v>
      </c>
      <c r="S17" s="155">
        <v>4.05</v>
      </c>
      <c r="T17" s="155">
        <v>9.35</v>
      </c>
      <c r="U17" s="155">
        <v>23</v>
      </c>
      <c r="V17" s="155">
        <v>4.5</v>
      </c>
      <c r="W17" s="155">
        <v>9.75</v>
      </c>
      <c r="X17" s="155">
        <v>25</v>
      </c>
      <c r="Y17" s="155">
        <v>85</v>
      </c>
      <c r="Z17" s="155">
        <v>95</v>
      </c>
      <c r="AA17" s="155">
        <v>100</v>
      </c>
      <c r="AB17" s="155">
        <v>100</v>
      </c>
    </row>
    <row r="18" spans="2:28" ht="12">
      <c r="B18" s="185" t="s">
        <v>169</v>
      </c>
      <c r="C18" s="185"/>
      <c r="D18" s="191">
        <f aca="true" t="shared" si="3" ref="D18:AB18">D8*D17*D15</f>
        <v>2.835</v>
      </c>
      <c r="E18" s="191">
        <f t="shared" si="3"/>
        <v>7.4375</v>
      </c>
      <c r="F18" s="191">
        <f t="shared" si="3"/>
        <v>17.6</v>
      </c>
      <c r="G18" s="191">
        <f t="shared" si="3"/>
        <v>3.645</v>
      </c>
      <c r="H18" s="191">
        <f t="shared" si="3"/>
        <v>7.9475</v>
      </c>
      <c r="I18" s="191">
        <f t="shared" si="3"/>
        <v>18.400000000000002</v>
      </c>
      <c r="J18" s="191">
        <f t="shared" si="3"/>
        <v>4.05</v>
      </c>
      <c r="K18" s="191">
        <f t="shared" si="3"/>
        <v>8.2875</v>
      </c>
      <c r="L18" s="191">
        <f t="shared" si="3"/>
        <v>20</v>
      </c>
      <c r="M18" s="191">
        <f t="shared" si="3"/>
        <v>72.25</v>
      </c>
      <c r="N18" s="191">
        <f t="shared" si="3"/>
        <v>80.75</v>
      </c>
      <c r="O18" s="191">
        <f t="shared" si="3"/>
        <v>85</v>
      </c>
      <c r="P18" s="191">
        <f t="shared" si="3"/>
        <v>2.6774999999999998</v>
      </c>
      <c r="Q18" s="191">
        <f t="shared" si="3"/>
        <v>7.4375</v>
      </c>
      <c r="R18" s="191">
        <f t="shared" si="3"/>
        <v>18.7</v>
      </c>
      <c r="S18" s="191">
        <f t="shared" si="3"/>
        <v>3.4425</v>
      </c>
      <c r="T18" s="191">
        <f t="shared" si="3"/>
        <v>7.9475</v>
      </c>
      <c r="U18" s="191">
        <f t="shared" si="3"/>
        <v>19.55</v>
      </c>
      <c r="V18" s="191">
        <f t="shared" si="3"/>
        <v>3.8249999999999997</v>
      </c>
      <c r="W18" s="191">
        <f t="shared" si="3"/>
        <v>8.2875</v>
      </c>
      <c r="X18" s="191">
        <f t="shared" si="3"/>
        <v>21.25</v>
      </c>
      <c r="Y18" s="191">
        <f t="shared" si="3"/>
        <v>72.25</v>
      </c>
      <c r="Z18" s="191">
        <f t="shared" si="3"/>
        <v>80.75</v>
      </c>
      <c r="AA18" s="191">
        <f t="shared" si="3"/>
        <v>85</v>
      </c>
      <c r="AB18" s="191">
        <f t="shared" si="3"/>
        <v>85</v>
      </c>
    </row>
    <row r="19" spans="2:28" ht="12">
      <c r="B19" s="185"/>
      <c r="C19" s="185"/>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row>
    <row r="20" spans="2:28" ht="12.75">
      <c r="B20" s="185" t="s">
        <v>33</v>
      </c>
      <c r="C20" s="185"/>
      <c r="D20" s="193">
        <v>39938</v>
      </c>
      <c r="E20" s="193">
        <v>39696</v>
      </c>
      <c r="F20" s="193">
        <v>39938</v>
      </c>
      <c r="G20" s="193">
        <v>39938</v>
      </c>
      <c r="H20" s="193">
        <v>39696</v>
      </c>
      <c r="I20" s="193">
        <v>39938</v>
      </c>
      <c r="J20" s="193">
        <v>39938</v>
      </c>
      <c r="K20" s="193">
        <v>39696</v>
      </c>
      <c r="L20" s="193">
        <v>39938</v>
      </c>
      <c r="M20" s="193">
        <v>39999</v>
      </c>
      <c r="N20" s="193">
        <v>40000</v>
      </c>
      <c r="O20" s="193">
        <v>40001</v>
      </c>
      <c r="P20" s="193">
        <v>39938</v>
      </c>
      <c r="Q20" s="193">
        <v>39696</v>
      </c>
      <c r="R20" s="193">
        <v>39938</v>
      </c>
      <c r="S20" s="193">
        <v>39938</v>
      </c>
      <c r="T20" s="193">
        <v>39696</v>
      </c>
      <c r="U20" s="193">
        <v>39938</v>
      </c>
      <c r="V20" s="193">
        <v>39938</v>
      </c>
      <c r="W20" s="193">
        <v>39696</v>
      </c>
      <c r="X20" s="193">
        <v>39938</v>
      </c>
      <c r="Y20" s="193">
        <v>39999</v>
      </c>
      <c r="Z20" s="193">
        <v>40000</v>
      </c>
      <c r="AA20" s="193">
        <v>40001</v>
      </c>
      <c r="AB20" s="193">
        <v>40001</v>
      </c>
    </row>
    <row r="21" spans="2:28" ht="12.75">
      <c r="B21" s="185" t="s">
        <v>64</v>
      </c>
      <c r="C21" s="185"/>
      <c r="D21" s="193">
        <v>40303</v>
      </c>
      <c r="E21" s="193">
        <v>40333</v>
      </c>
      <c r="F21" s="193">
        <v>40667</v>
      </c>
      <c r="G21" s="193">
        <v>40303</v>
      </c>
      <c r="H21" s="193">
        <v>40333</v>
      </c>
      <c r="I21" s="193">
        <v>40667</v>
      </c>
      <c r="J21" s="193">
        <v>40303</v>
      </c>
      <c r="K21" s="193">
        <v>40333</v>
      </c>
      <c r="L21" s="193">
        <v>40667</v>
      </c>
      <c r="M21" s="193">
        <v>41014</v>
      </c>
      <c r="N21" s="193">
        <v>41015</v>
      </c>
      <c r="O21" s="193">
        <v>41016</v>
      </c>
      <c r="P21" s="193">
        <v>40303</v>
      </c>
      <c r="Q21" s="193">
        <v>40333</v>
      </c>
      <c r="R21" s="193">
        <v>40667</v>
      </c>
      <c r="S21" s="193">
        <v>40303</v>
      </c>
      <c r="T21" s="193">
        <v>40333</v>
      </c>
      <c r="U21" s="193">
        <v>40667</v>
      </c>
      <c r="V21" s="193">
        <v>40303</v>
      </c>
      <c r="W21" s="193">
        <v>40333</v>
      </c>
      <c r="X21" s="193">
        <v>40667</v>
      </c>
      <c r="Y21" s="193">
        <v>41014</v>
      </c>
      <c r="Z21" s="193">
        <v>41015</v>
      </c>
      <c r="AA21" s="193">
        <v>41016</v>
      </c>
      <c r="AB21" s="193">
        <v>41016</v>
      </c>
    </row>
    <row r="22" spans="2:28" ht="12">
      <c r="B22" s="185" t="s">
        <v>32</v>
      </c>
      <c r="C22" s="194"/>
      <c r="D22" s="194">
        <f aca="true" t="shared" si="4" ref="D22:AB22">(D21-D20)/7</f>
        <v>52.142857142857146</v>
      </c>
      <c r="E22" s="194">
        <f t="shared" si="4"/>
        <v>91</v>
      </c>
      <c r="F22" s="194">
        <f t="shared" si="4"/>
        <v>104.14285714285714</v>
      </c>
      <c r="G22" s="194">
        <f t="shared" si="4"/>
        <v>52.142857142857146</v>
      </c>
      <c r="H22" s="194">
        <f t="shared" si="4"/>
        <v>91</v>
      </c>
      <c r="I22" s="194">
        <f t="shared" si="4"/>
        <v>104.14285714285714</v>
      </c>
      <c r="J22" s="194">
        <f t="shared" si="4"/>
        <v>52.142857142857146</v>
      </c>
      <c r="K22" s="194">
        <f t="shared" si="4"/>
        <v>91</v>
      </c>
      <c r="L22" s="194">
        <f t="shared" si="4"/>
        <v>104.14285714285714</v>
      </c>
      <c r="M22" s="194">
        <f t="shared" si="4"/>
        <v>145</v>
      </c>
      <c r="N22" s="194">
        <f t="shared" si="4"/>
        <v>145</v>
      </c>
      <c r="O22" s="194">
        <f t="shared" si="4"/>
        <v>145</v>
      </c>
      <c r="P22" s="194">
        <f t="shared" si="4"/>
        <v>52.142857142857146</v>
      </c>
      <c r="Q22" s="194">
        <f t="shared" si="4"/>
        <v>91</v>
      </c>
      <c r="R22" s="194">
        <f t="shared" si="4"/>
        <v>104.14285714285714</v>
      </c>
      <c r="S22" s="194">
        <f t="shared" si="4"/>
        <v>52.142857142857146</v>
      </c>
      <c r="T22" s="194">
        <f t="shared" si="4"/>
        <v>91</v>
      </c>
      <c r="U22" s="194">
        <f t="shared" si="4"/>
        <v>104.14285714285714</v>
      </c>
      <c r="V22" s="194">
        <f t="shared" si="4"/>
        <v>52.142857142857146</v>
      </c>
      <c r="W22" s="194">
        <f t="shared" si="4"/>
        <v>91</v>
      </c>
      <c r="X22" s="194">
        <f t="shared" si="4"/>
        <v>104.14285714285714</v>
      </c>
      <c r="Y22" s="194">
        <f t="shared" si="4"/>
        <v>145</v>
      </c>
      <c r="Z22" s="194">
        <f t="shared" si="4"/>
        <v>145</v>
      </c>
      <c r="AA22" s="194">
        <f t="shared" si="4"/>
        <v>145</v>
      </c>
      <c r="AB22" s="194">
        <f t="shared" si="4"/>
        <v>145</v>
      </c>
    </row>
    <row r="24" ht="12">
      <c r="B24" s="181" t="s">
        <v>323</v>
      </c>
    </row>
  </sheetData>
  <sheetProtection/>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K76"/>
  <sheetViews>
    <sheetView zoomScale="150" zoomScaleNormal="15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7109375" defaultRowHeight="12.75"/>
  <cols>
    <col min="1" max="1" width="2.421875" style="0" customWidth="1"/>
    <col min="2" max="2" width="26.421875" style="0" customWidth="1"/>
    <col min="3" max="3" width="9.8515625" style="0" customWidth="1"/>
    <col min="4" max="4" width="18.28125" style="0" customWidth="1"/>
    <col min="5" max="5" width="13.8515625" style="0" customWidth="1"/>
    <col min="6" max="6" width="13.28125" style="0" customWidth="1"/>
    <col min="8" max="8" width="14.00390625" style="0" customWidth="1"/>
    <col min="11" max="11" width="7.7109375" style="0" customWidth="1"/>
    <col min="12" max="12" width="9.00390625" style="0" customWidth="1"/>
    <col min="13" max="13" width="7.7109375" style="0" customWidth="1"/>
    <col min="14" max="14" width="9.7109375" style="0" customWidth="1"/>
    <col min="15" max="15" width="7.7109375" style="0" customWidth="1"/>
    <col min="16" max="16" width="9.421875" style="0" customWidth="1"/>
    <col min="17" max="17" width="7.7109375" style="0" customWidth="1"/>
    <col min="18" max="18" width="8.8515625" style="0" customWidth="1"/>
    <col min="19" max="19" width="7.7109375" style="0" customWidth="1"/>
    <col min="20" max="20" width="7.00390625" style="0" customWidth="1"/>
    <col min="21" max="21" width="7.7109375" style="0" customWidth="1"/>
    <col min="22" max="22" width="8.140625" style="0" customWidth="1"/>
    <col min="23" max="23" width="7.7109375" style="0" customWidth="1"/>
    <col min="24" max="24" width="11.8515625" style="0" customWidth="1"/>
    <col min="25" max="25" width="7.7109375" style="0" customWidth="1"/>
    <col min="26" max="26" width="9.7109375" style="0" customWidth="1"/>
    <col min="27" max="27" width="7.7109375" style="0" customWidth="1"/>
    <col min="28" max="28" width="8.8515625" style="0" customWidth="1"/>
    <col min="30" max="30" width="10.421875" style="0" customWidth="1"/>
  </cols>
  <sheetData>
    <row r="1" spans="2:6" ht="18">
      <c r="B1" s="195" t="s">
        <v>355</v>
      </c>
      <c r="C1" s="23"/>
      <c r="D1" s="23"/>
      <c r="E1" s="226">
        <f>'1 Enterprises'!D3-1</f>
        <v>2008</v>
      </c>
      <c r="F1" s="164" t="s">
        <v>356</v>
      </c>
    </row>
    <row r="2" spans="2:5" ht="15.75">
      <c r="B2" s="243" t="str">
        <f>'1 Enterprises'!B3</f>
        <v>T and R Whole Sale Nursery</v>
      </c>
      <c r="E2" s="211"/>
    </row>
    <row r="3" spans="2:8" ht="12.75">
      <c r="B3" s="269" t="s">
        <v>177</v>
      </c>
      <c r="C3" s="18"/>
      <c r="D3" s="18"/>
      <c r="E3" s="26" t="s">
        <v>102</v>
      </c>
      <c r="F3" s="26" t="s">
        <v>25</v>
      </c>
      <c r="G3" s="128" t="s">
        <v>26</v>
      </c>
      <c r="H3" s="26" t="s">
        <v>27</v>
      </c>
    </row>
    <row r="4" spans="2:37" ht="63.75">
      <c r="B4" s="270"/>
      <c r="C4" s="48" t="s">
        <v>1</v>
      </c>
      <c r="D4" s="48" t="s">
        <v>152</v>
      </c>
      <c r="E4" s="26" t="s">
        <v>309</v>
      </c>
      <c r="F4" s="26" t="s">
        <v>225</v>
      </c>
      <c r="G4" s="128" t="s">
        <v>226</v>
      </c>
      <c r="H4" s="26" t="s">
        <v>210</v>
      </c>
      <c r="I4" s="130"/>
      <c r="J4" s="130"/>
      <c r="K4" s="130"/>
      <c r="L4" s="130"/>
      <c r="M4" s="130"/>
      <c r="N4" s="130"/>
      <c r="O4" s="130"/>
      <c r="P4" s="130"/>
      <c r="Q4" s="130"/>
      <c r="R4" s="130"/>
      <c r="S4" s="130"/>
      <c r="T4" s="130"/>
      <c r="U4" s="130"/>
      <c r="V4" s="130"/>
      <c r="W4" s="130"/>
      <c r="X4" s="130"/>
      <c r="Y4" s="130"/>
      <c r="Z4" s="130"/>
      <c r="AA4" s="130"/>
      <c r="AB4" s="130"/>
      <c r="AC4" s="130"/>
      <c r="AD4" s="130"/>
      <c r="AE4" s="58"/>
      <c r="AF4" s="58"/>
      <c r="AG4" s="58"/>
      <c r="AH4" s="58"/>
      <c r="AI4" s="58"/>
      <c r="AJ4" s="58"/>
      <c r="AK4" s="58"/>
    </row>
    <row r="5" spans="2:37" ht="15">
      <c r="B5" s="16" t="str">
        <f>'1 Enterprises'!D5</f>
        <v>Container Crop 1</v>
      </c>
      <c r="C5" s="145">
        <v>45721</v>
      </c>
      <c r="D5" s="56">
        <f>IF(AND(E5&gt;0,C5&gt;0),(E5/C5),0)</f>
        <v>3.1495374116926578</v>
      </c>
      <c r="E5" s="146">
        <v>144000</v>
      </c>
      <c r="F5" s="146">
        <f>'1 Enterprises'!D6*'8 Cost of Production'!D30-'8 Cost of Production'!D23-'8 Cost of Production'!D25*('1 Enterprises'!D22/52)</f>
        <v>120757.92887353162</v>
      </c>
      <c r="G5" s="146">
        <v>100000</v>
      </c>
      <c r="H5" s="27">
        <f>E5-F5+G5</f>
        <v>123242.07112646838</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2:37" ht="15">
      <c r="B6" s="16" t="str">
        <f>'1 Enterprises'!E5</f>
        <v>Container Crop 2</v>
      </c>
      <c r="C6" s="145">
        <v>18977</v>
      </c>
      <c r="D6" s="56">
        <f aca="true" t="shared" si="0" ref="D6:D16">IF(AND(E6&gt;0,C6&gt;0),(E6/C6),0)</f>
        <v>8.747431100806239</v>
      </c>
      <c r="E6" s="146">
        <v>166000</v>
      </c>
      <c r="F6" s="146">
        <f>'1 Enterprises'!E6*'8 Cost of Production'!E30-'8 Cost of Production'!E23-'8 Cost of Production'!E25*('1 Enterprises'!E22/52)</f>
        <v>127381.65658298228</v>
      </c>
      <c r="G6" s="146">
        <v>112000</v>
      </c>
      <c r="H6" s="27">
        <f aca="true" t="shared" si="1" ref="H6:H16">E6-F6+G6</f>
        <v>150618.34341701772</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row>
    <row r="7" spans="2:37" ht="15">
      <c r="B7" s="16" t="str">
        <f>'1 Enterprises'!F5</f>
        <v>Container Crop 3</v>
      </c>
      <c r="C7" s="145">
        <v>12515</v>
      </c>
      <c r="D7" s="56">
        <f t="shared" si="0"/>
        <v>21.973631642029563</v>
      </c>
      <c r="E7" s="146">
        <v>275000</v>
      </c>
      <c r="F7" s="146">
        <f>'1 Enterprises'!F6*'8 Cost of Production'!F30-'8 Cost of Production'!F23-'8 Cost of Production'!F25*('1 Enterprises'!F22/52)</f>
        <v>215767.17282677247</v>
      </c>
      <c r="G7" s="146">
        <v>150000</v>
      </c>
      <c r="H7" s="27">
        <f t="shared" si="1"/>
        <v>209232.82717322753</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2:37" ht="15">
      <c r="B8" s="16" t="str">
        <f>'1 Enterprises'!G5</f>
        <v>Container Crop 4</v>
      </c>
      <c r="C8" s="145">
        <v>63210</v>
      </c>
      <c r="D8" s="56">
        <f t="shared" si="0"/>
        <v>4.0499920898592</v>
      </c>
      <c r="E8" s="146">
        <v>256000</v>
      </c>
      <c r="F8" s="146">
        <f>'1 Enterprises'!G6*'8 Cost of Production'!G30-'8 Cost of Production'!G23-'8 Cost of Production'!G25*('1 Enterprises'!G22/52)</f>
        <v>194956.1298615392</v>
      </c>
      <c r="G8" s="146">
        <v>160000</v>
      </c>
      <c r="H8" s="27">
        <f t="shared" si="1"/>
        <v>221043.8701384608</v>
      </c>
      <c r="I8" s="58"/>
      <c r="J8" s="58"/>
      <c r="K8" s="133"/>
      <c r="L8" s="58"/>
      <c r="M8" s="58"/>
      <c r="N8" s="58"/>
      <c r="O8" s="58"/>
      <c r="P8" s="58"/>
      <c r="Q8" s="58"/>
      <c r="R8" s="58"/>
      <c r="S8" s="58"/>
      <c r="T8" s="58"/>
      <c r="U8" s="58"/>
      <c r="V8" s="58"/>
      <c r="W8" s="58"/>
      <c r="X8" s="58"/>
      <c r="Y8" s="58"/>
      <c r="Z8" s="58"/>
      <c r="AA8" s="58"/>
      <c r="AB8" s="58"/>
      <c r="AC8" s="58"/>
      <c r="AD8" s="58"/>
      <c r="AE8" s="58"/>
      <c r="AF8" s="58"/>
      <c r="AG8" s="58"/>
      <c r="AH8" s="58"/>
      <c r="AI8" s="58"/>
      <c r="AJ8" s="58"/>
      <c r="AK8" s="58"/>
    </row>
    <row r="9" spans="2:37" ht="15">
      <c r="B9" s="16" t="str">
        <f>'1 Enterprises'!H5</f>
        <v>Container Crop 5</v>
      </c>
      <c r="C9" s="145">
        <v>26018</v>
      </c>
      <c r="D9" s="56">
        <f t="shared" si="0"/>
        <v>9.339687908371127</v>
      </c>
      <c r="E9" s="146">
        <v>243000</v>
      </c>
      <c r="F9" s="146">
        <f>'1 Enterprises'!H6*'8 Cost of Production'!H30-'8 Cost of Production'!H23-'8 Cost of Production'!H25*('1 Enterprises'!H22/52)</f>
        <v>179219.66516365221</v>
      </c>
      <c r="G9" s="146">
        <f aca="true" t="shared" si="2" ref="G9:G16">F9</f>
        <v>179219.66516365221</v>
      </c>
      <c r="H9" s="27">
        <f t="shared" si="1"/>
        <v>243000</v>
      </c>
      <c r="I9" s="58"/>
      <c r="J9" s="58"/>
      <c r="K9" s="133"/>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2:37" ht="15">
      <c r="B10" s="16" t="str">
        <f>'1 Enterprises'!I5</f>
        <v>Container Crop 6</v>
      </c>
      <c r="C10" s="145">
        <v>15058</v>
      </c>
      <c r="D10" s="56">
        <f t="shared" si="0"/>
        <v>22.977819099482</v>
      </c>
      <c r="E10" s="146">
        <v>346000</v>
      </c>
      <c r="F10" s="146">
        <f>'1 Enterprises'!I6*'8 Cost of Production'!I30-'8 Cost of Production'!I23-'8 Cost of Production'!I25*('1 Enterprises'!I22/52)</f>
        <v>278263.9976573687</v>
      </c>
      <c r="G10" s="146">
        <f t="shared" si="2"/>
        <v>278263.9976573687</v>
      </c>
      <c r="H10" s="27">
        <f t="shared" si="1"/>
        <v>346000</v>
      </c>
      <c r="I10" s="58"/>
      <c r="J10" s="58"/>
      <c r="K10" s="133"/>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2:37" ht="15">
      <c r="B11" s="16" t="str">
        <f>'1 Enterprises'!J5</f>
        <v>Container Crop 7</v>
      </c>
      <c r="C11" s="145">
        <v>28919</v>
      </c>
      <c r="D11" s="56">
        <f t="shared" si="0"/>
        <v>4.495314499118226</v>
      </c>
      <c r="E11" s="146">
        <v>130000</v>
      </c>
      <c r="F11" s="146">
        <f>'1 Enterprises'!J6*'8 Cost of Production'!J30-'8 Cost of Production'!J23-'8 Cost of Production'!J25*('1 Enterprises'!J22/52)</f>
        <v>111668.16186046532</v>
      </c>
      <c r="G11" s="146">
        <f t="shared" si="2"/>
        <v>111668.16186046532</v>
      </c>
      <c r="H11" s="27">
        <f t="shared" si="1"/>
        <v>130000</v>
      </c>
      <c r="I11" s="58"/>
      <c r="J11" s="58"/>
      <c r="K11" s="133"/>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2:37" ht="15">
      <c r="B12" s="16" t="str">
        <f>'1 Enterprises'!K5</f>
        <v>Container Crop 8</v>
      </c>
      <c r="C12" s="145">
        <v>14336</v>
      </c>
      <c r="D12" s="56">
        <f t="shared" si="0"/>
        <v>9.765625</v>
      </c>
      <c r="E12" s="146">
        <v>140000</v>
      </c>
      <c r="F12" s="146">
        <f>'1 Enterprises'!K6*'8 Cost of Production'!K30-'8 Cost of Production'!K23-'8 Cost of Production'!K25*('1 Enterprises'!K22/52)</f>
        <v>103809.97466988716</v>
      </c>
      <c r="G12" s="146">
        <f t="shared" si="2"/>
        <v>103809.97466988716</v>
      </c>
      <c r="H12" s="27">
        <f t="shared" si="1"/>
        <v>140000</v>
      </c>
      <c r="I12" s="58"/>
      <c r="J12" s="58"/>
      <c r="K12" s="133"/>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2:37" ht="15">
      <c r="B13" s="16" t="str">
        <f>'1 Enterprises'!L5</f>
        <v>Container Crop 9</v>
      </c>
      <c r="C13" s="145">
        <v>27843</v>
      </c>
      <c r="D13" s="56">
        <f t="shared" si="0"/>
        <v>24.997306324749488</v>
      </c>
      <c r="E13" s="146">
        <v>696000</v>
      </c>
      <c r="F13" s="146">
        <f>'1 Enterprises'!L6*'8 Cost of Production'!L30-'8 Cost of Production'!L23-'8 Cost of Production'!L25*('1 Enterprises'!L22/52)</f>
        <v>523065.6687070882</v>
      </c>
      <c r="G13" s="146">
        <f t="shared" si="2"/>
        <v>523065.6687070882</v>
      </c>
      <c r="H13" s="27">
        <f t="shared" si="1"/>
        <v>696000</v>
      </c>
      <c r="I13" s="58"/>
      <c r="J13" s="58"/>
      <c r="K13" s="133"/>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2:37" ht="15">
      <c r="B14" s="16" t="str">
        <f>'1 Enterprises'!M5</f>
        <v>Field Crop 1</v>
      </c>
      <c r="C14" s="145">
        <v>1000</v>
      </c>
      <c r="D14" s="56">
        <f t="shared" si="0"/>
        <v>85</v>
      </c>
      <c r="E14" s="146">
        <v>85000</v>
      </c>
      <c r="F14" s="146">
        <f>'1 Enterprises'!M6*'8 Cost of Production'!M30-'8 Cost of Production'!M23-'8 Cost of Production'!M25*('1 Enterprises'!M22/52)</f>
        <v>51900.31260018391</v>
      </c>
      <c r="G14" s="146">
        <f t="shared" si="2"/>
        <v>51900.31260018391</v>
      </c>
      <c r="H14" s="27">
        <f t="shared" si="1"/>
        <v>85000</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2:37" ht="15">
      <c r="B15" s="16" t="str">
        <f>'1 Enterprises'!N5</f>
        <v>Field Crop 2</v>
      </c>
      <c r="C15" s="145">
        <v>1200</v>
      </c>
      <c r="D15" s="56">
        <f t="shared" si="0"/>
        <v>95</v>
      </c>
      <c r="E15" s="146">
        <v>114000</v>
      </c>
      <c r="F15" s="146">
        <f>'1 Enterprises'!N6*'8 Cost of Production'!N30-'8 Cost of Production'!N23-'8 Cost of Production'!N25*('1 Enterprises'!N22/52)</f>
        <v>63000.94050483607</v>
      </c>
      <c r="G15" s="146">
        <f t="shared" si="2"/>
        <v>63000.94050483607</v>
      </c>
      <c r="H15" s="27">
        <f t="shared" si="1"/>
        <v>114000</v>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2:37" ht="15">
      <c r="B16" s="16" t="str">
        <f>'1 Enterprises'!O5</f>
        <v>Field Crop 3</v>
      </c>
      <c r="C16" s="145">
        <v>1500</v>
      </c>
      <c r="D16" s="56">
        <f t="shared" si="0"/>
        <v>105</v>
      </c>
      <c r="E16" s="146">
        <v>157500</v>
      </c>
      <c r="F16" s="146">
        <f>'1 Enterprises'!O6*'8 Cost of Production'!O30-'8 Cost of Production'!O23-'8 Cost of Production'!O25*('1 Enterprises'!O22/52)</f>
        <v>80094.85111181432</v>
      </c>
      <c r="G16" s="146">
        <f t="shared" si="2"/>
        <v>80094.85111181432</v>
      </c>
      <c r="H16" s="27">
        <f t="shared" si="1"/>
        <v>157500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2:37" ht="15">
      <c r="B17" s="180" t="str">
        <f>'1 Enterprises'!P5</f>
        <v>Container Crop 10</v>
      </c>
      <c r="C17" s="145">
        <v>0</v>
      </c>
      <c r="D17" s="56">
        <f>IF(AND(E17&gt;0,C17&gt;0),(E17/C17),0)</f>
        <v>0</v>
      </c>
      <c r="E17" s="146">
        <v>0</v>
      </c>
      <c r="F17" s="146">
        <v>0</v>
      </c>
      <c r="G17" s="146">
        <v>0</v>
      </c>
      <c r="H17" s="27">
        <f>E17-F17+G17</f>
        <v>0</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2:37" ht="15">
      <c r="B18" s="180" t="str">
        <f>'1 Enterprises'!Q5</f>
        <v>Container Crop 11</v>
      </c>
      <c r="C18" s="145">
        <v>0</v>
      </c>
      <c r="D18" s="56">
        <f aca="true" t="shared" si="3" ref="D18:D28">IF(AND(E18&gt;0,C18&gt;0),(E18/C18),0)</f>
        <v>0</v>
      </c>
      <c r="E18" s="146">
        <v>0</v>
      </c>
      <c r="F18" s="146">
        <v>0</v>
      </c>
      <c r="G18" s="146">
        <v>0</v>
      </c>
      <c r="H18" s="27">
        <f aca="true" t="shared" si="4" ref="H18:H28">E18-F18+G18</f>
        <v>0</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2:37" ht="15">
      <c r="B19" s="180" t="str">
        <f>'1 Enterprises'!R5</f>
        <v>Container Crop 12</v>
      </c>
      <c r="C19" s="145">
        <v>0</v>
      </c>
      <c r="D19" s="56">
        <f t="shared" si="3"/>
        <v>0</v>
      </c>
      <c r="E19" s="146">
        <v>0</v>
      </c>
      <c r="F19" s="146">
        <v>0</v>
      </c>
      <c r="G19" s="146">
        <v>0</v>
      </c>
      <c r="H19" s="27">
        <f t="shared" si="4"/>
        <v>0</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2:37" ht="15">
      <c r="B20" s="180" t="str">
        <f>'1 Enterprises'!S5</f>
        <v>Container Crop 13</v>
      </c>
      <c r="C20" s="145">
        <v>0</v>
      </c>
      <c r="D20" s="56">
        <f t="shared" si="3"/>
        <v>0</v>
      </c>
      <c r="E20" s="146">
        <v>0</v>
      </c>
      <c r="F20" s="146">
        <v>0</v>
      </c>
      <c r="G20" s="146">
        <v>0</v>
      </c>
      <c r="H20" s="27">
        <f t="shared" si="4"/>
        <v>0</v>
      </c>
      <c r="I20" s="58"/>
      <c r="J20" s="58"/>
      <c r="K20" s="133"/>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2:37" ht="15">
      <c r="B21" s="180" t="str">
        <f>'1 Enterprises'!T5</f>
        <v>Container Crop 14</v>
      </c>
      <c r="C21" s="145">
        <v>0</v>
      </c>
      <c r="D21" s="56">
        <f t="shared" si="3"/>
        <v>0</v>
      </c>
      <c r="E21" s="146">
        <v>0</v>
      </c>
      <c r="F21" s="146">
        <v>0</v>
      </c>
      <c r="G21" s="146">
        <v>0</v>
      </c>
      <c r="H21" s="27">
        <f t="shared" si="4"/>
        <v>0</v>
      </c>
      <c r="I21" s="58"/>
      <c r="J21" s="58"/>
      <c r="K21" s="133"/>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2:37" ht="15">
      <c r="B22" s="180" t="str">
        <f>'1 Enterprises'!U5</f>
        <v>Container Crop 15</v>
      </c>
      <c r="C22" s="145">
        <v>0</v>
      </c>
      <c r="D22" s="56">
        <f t="shared" si="3"/>
        <v>0</v>
      </c>
      <c r="E22" s="146">
        <v>0</v>
      </c>
      <c r="F22" s="146">
        <v>0</v>
      </c>
      <c r="G22" s="146">
        <v>0</v>
      </c>
      <c r="H22" s="27">
        <f t="shared" si="4"/>
        <v>0</v>
      </c>
      <c r="I22" s="58"/>
      <c r="J22" s="58"/>
      <c r="K22" s="133"/>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2:37" ht="15">
      <c r="B23" s="180" t="str">
        <f>'1 Enterprises'!V5</f>
        <v>Container Crop 16</v>
      </c>
      <c r="C23" s="145">
        <v>0</v>
      </c>
      <c r="D23" s="56">
        <f t="shared" si="3"/>
        <v>0</v>
      </c>
      <c r="E23" s="146">
        <v>0</v>
      </c>
      <c r="F23" s="146">
        <v>0</v>
      </c>
      <c r="G23" s="146">
        <v>0</v>
      </c>
      <c r="H23" s="27">
        <f t="shared" si="4"/>
        <v>0</v>
      </c>
      <c r="I23" s="58"/>
      <c r="J23" s="58"/>
      <c r="K23" s="133"/>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2:37" ht="15">
      <c r="B24" s="180" t="str">
        <f>'1 Enterprises'!W5</f>
        <v>Container Crop 17</v>
      </c>
      <c r="C24" s="145">
        <v>0</v>
      </c>
      <c r="D24" s="56">
        <f t="shared" si="3"/>
        <v>0</v>
      </c>
      <c r="E24" s="146">
        <v>0</v>
      </c>
      <c r="F24" s="146">
        <v>0</v>
      </c>
      <c r="G24" s="146">
        <v>0</v>
      </c>
      <c r="H24" s="27">
        <f t="shared" si="4"/>
        <v>0</v>
      </c>
      <c r="I24" s="58"/>
      <c r="J24" s="58"/>
      <c r="K24" s="133"/>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2:37" ht="15">
      <c r="B25" s="180" t="str">
        <f>'1 Enterprises'!X5</f>
        <v>Container Crop 18</v>
      </c>
      <c r="C25" s="145">
        <v>0</v>
      </c>
      <c r="D25" s="56">
        <f t="shared" si="3"/>
        <v>0</v>
      </c>
      <c r="E25" s="146">
        <v>0</v>
      </c>
      <c r="F25" s="146">
        <v>0</v>
      </c>
      <c r="G25" s="146">
        <v>0</v>
      </c>
      <c r="H25" s="27">
        <f t="shared" si="4"/>
        <v>0</v>
      </c>
      <c r="I25" s="58"/>
      <c r="J25" s="58"/>
      <c r="K25" s="133"/>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2:37" ht="15">
      <c r="B26" s="180" t="str">
        <f>'1 Enterprises'!Y5</f>
        <v>Field Crop 4</v>
      </c>
      <c r="C26" s="145">
        <v>0</v>
      </c>
      <c r="D26" s="56">
        <f t="shared" si="3"/>
        <v>0</v>
      </c>
      <c r="E26" s="146">
        <v>0</v>
      </c>
      <c r="F26" s="146">
        <v>0</v>
      </c>
      <c r="G26" s="146">
        <v>0</v>
      </c>
      <c r="H26" s="27">
        <f t="shared" si="4"/>
        <v>0</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2:37" ht="15">
      <c r="B27" s="180" t="str">
        <f>'1 Enterprises'!Z5</f>
        <v>Field Crop 5</v>
      </c>
      <c r="C27" s="145">
        <v>0</v>
      </c>
      <c r="D27" s="56">
        <f t="shared" si="3"/>
        <v>0</v>
      </c>
      <c r="E27" s="146">
        <v>0</v>
      </c>
      <c r="F27" s="146">
        <v>0</v>
      </c>
      <c r="G27" s="146">
        <v>0</v>
      </c>
      <c r="H27" s="27">
        <f t="shared" si="4"/>
        <v>0</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2:37" ht="15">
      <c r="B28" s="180" t="str">
        <f>'1 Enterprises'!AA5</f>
        <v>Field Crop 6</v>
      </c>
      <c r="C28" s="145">
        <v>0</v>
      </c>
      <c r="D28" s="56">
        <f t="shared" si="3"/>
        <v>0</v>
      </c>
      <c r="E28" s="146">
        <v>0</v>
      </c>
      <c r="F28" s="146">
        <v>0</v>
      </c>
      <c r="G28" s="146">
        <v>0</v>
      </c>
      <c r="H28" s="27">
        <f t="shared" si="4"/>
        <v>0</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2:37" ht="15">
      <c r="B29" s="180" t="str">
        <f>'1 Enterprises'!AB5</f>
        <v>Field Crop 7</v>
      </c>
      <c r="C29" s="145">
        <v>0</v>
      </c>
      <c r="D29" s="56">
        <f>IF(AND(E29&gt;0,C29&gt;0),(E29/C29),0)</f>
        <v>0</v>
      </c>
      <c r="E29" s="146">
        <v>0</v>
      </c>
      <c r="F29" s="146">
        <v>0</v>
      </c>
      <c r="G29" s="146">
        <v>0</v>
      </c>
      <c r="H29" s="27">
        <f>E29-F29+G29</f>
        <v>0</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2:8" s="180" customFormat="1" ht="15">
      <c r="B30" s="145" t="s">
        <v>322</v>
      </c>
      <c r="C30" s="16"/>
      <c r="D30" s="56"/>
      <c r="E30" s="146">
        <v>0</v>
      </c>
      <c r="F30" s="146">
        <v>0</v>
      </c>
      <c r="G30" s="146">
        <v>0</v>
      </c>
      <c r="H30" s="27">
        <f>E30-F30+G30</f>
        <v>0</v>
      </c>
    </row>
    <row r="31" spans="2:37" ht="15">
      <c r="B31" s="145" t="s">
        <v>326</v>
      </c>
      <c r="C31" s="16"/>
      <c r="D31" s="56"/>
      <c r="E31" s="146">
        <v>0</v>
      </c>
      <c r="F31" s="146">
        <v>0</v>
      </c>
      <c r="G31" s="146">
        <v>0</v>
      </c>
      <c r="H31" s="27">
        <f>E31-F31+G31</f>
        <v>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2:37" ht="15.75">
      <c r="B32" s="28" t="s">
        <v>28</v>
      </c>
      <c r="C32" s="16"/>
      <c r="D32" s="18"/>
      <c r="E32" s="198">
        <f>SUM(E5:E31)</f>
        <v>2752500</v>
      </c>
      <c r="F32" s="198">
        <f>SUM(F5:F31)</f>
        <v>2049886.460420122</v>
      </c>
      <c r="G32" s="198">
        <f>SUM(G5:G31)</f>
        <v>1913023.5722752963</v>
      </c>
      <c r="H32" s="198">
        <f>SUM(H5:H31)</f>
        <v>2615637.1118551744</v>
      </c>
      <c r="I32" s="203"/>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2:37" ht="12.75">
      <c r="B33" s="128"/>
      <c r="C33" s="59"/>
      <c r="D33" s="60"/>
      <c r="E33" s="60" t="s">
        <v>71</v>
      </c>
      <c r="F33" s="60" t="s">
        <v>61</v>
      </c>
      <c r="G33" s="57" t="s">
        <v>62</v>
      </c>
      <c r="H33" s="132" t="s">
        <v>63</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2:37" ht="13.5">
      <c r="B34" s="13"/>
      <c r="G34" t="s">
        <v>29</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ht="15.75">
      <c r="B35" s="14" t="s">
        <v>331</v>
      </c>
      <c r="D35" s="240">
        <f>E1</f>
        <v>2008</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2:37" ht="15.75">
      <c r="B36" s="17" t="s">
        <v>151</v>
      </c>
      <c r="C36" s="18"/>
      <c r="D36" s="18"/>
      <c r="E36" s="172"/>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ht="15">
      <c r="B37" s="22" t="s">
        <v>202</v>
      </c>
      <c r="C37" s="19"/>
      <c r="D37" s="146">
        <v>130000</v>
      </c>
      <c r="E37" s="125"/>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ht="15">
      <c r="B38" s="22" t="s">
        <v>203</v>
      </c>
      <c r="C38" s="18"/>
      <c r="D38" s="146">
        <v>225000</v>
      </c>
      <c r="E38" s="125"/>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ht="15">
      <c r="B39" s="22" t="s">
        <v>204</v>
      </c>
      <c r="C39" s="18"/>
      <c r="D39" s="146">
        <v>1000000</v>
      </c>
      <c r="E39" s="125"/>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37" ht="38.25">
      <c r="B40" s="171" t="s">
        <v>401</v>
      </c>
      <c r="C40" s="18"/>
      <c r="D40" s="146">
        <v>13000</v>
      </c>
      <c r="E40" s="125"/>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row r="41" spans="2:5" ht="15">
      <c r="B41" s="22" t="s">
        <v>205</v>
      </c>
      <c r="C41" s="18"/>
      <c r="D41" s="146">
        <v>45000</v>
      </c>
      <c r="E41" s="125"/>
    </row>
    <row r="42" spans="2:5" ht="15">
      <c r="B42" s="22" t="s">
        <v>206</v>
      </c>
      <c r="C42" s="18"/>
      <c r="D42" s="146">
        <v>20000</v>
      </c>
      <c r="E42" s="125"/>
    </row>
    <row r="43" spans="2:5" ht="15">
      <c r="B43" s="22" t="s">
        <v>304</v>
      </c>
      <c r="C43" s="18"/>
      <c r="D43" s="146">
        <v>19000</v>
      </c>
      <c r="E43" s="125"/>
    </row>
    <row r="44" spans="2:5" ht="15">
      <c r="B44" s="47" t="s">
        <v>306</v>
      </c>
      <c r="C44" s="18"/>
      <c r="D44" s="146">
        <v>120000</v>
      </c>
      <c r="E44" s="125"/>
    </row>
    <row r="45" spans="2:5" ht="15">
      <c r="B45" s="22" t="s">
        <v>305</v>
      </c>
      <c r="C45" s="18"/>
      <c r="D45" s="146">
        <v>78000</v>
      </c>
      <c r="E45" s="125"/>
    </row>
    <row r="46" spans="2:5" ht="15">
      <c r="B46" s="22" t="s">
        <v>303</v>
      </c>
      <c r="C46" s="18"/>
      <c r="D46" s="146">
        <v>10000</v>
      </c>
      <c r="E46" s="125"/>
    </row>
    <row r="47" spans="2:5" ht="15">
      <c r="B47" s="47" t="s">
        <v>207</v>
      </c>
      <c r="C47" s="18"/>
      <c r="D47" s="146">
        <v>54000</v>
      </c>
      <c r="E47" s="125"/>
    </row>
    <row r="48" spans="2:5" ht="15">
      <c r="B48" s="145" t="s">
        <v>208</v>
      </c>
      <c r="C48" s="18"/>
      <c r="D48" s="146">
        <v>0</v>
      </c>
      <c r="E48" s="125"/>
    </row>
    <row r="49" spans="2:6" ht="15">
      <c r="B49" s="145" t="s">
        <v>209</v>
      </c>
      <c r="C49" s="18"/>
      <c r="D49" s="146">
        <v>0</v>
      </c>
      <c r="E49" s="224" t="s">
        <v>350</v>
      </c>
      <c r="F49" s="202"/>
    </row>
    <row r="50" spans="2:7" ht="15">
      <c r="B50" s="145" t="s">
        <v>92</v>
      </c>
      <c r="C50" s="18"/>
      <c r="D50" s="146">
        <v>0</v>
      </c>
      <c r="E50" s="125">
        <f>SUM(D37:D50)</f>
        <v>1714000</v>
      </c>
      <c r="F50" s="199"/>
      <c r="G50" s="25"/>
    </row>
    <row r="51" spans="2:7" ht="12.75">
      <c r="B51" s="125"/>
      <c r="C51" s="125"/>
      <c r="D51" s="125"/>
      <c r="E51" s="125"/>
      <c r="F51" s="199"/>
      <c r="G51" s="25"/>
    </row>
    <row r="52" spans="2:7" ht="15.75">
      <c r="B52" s="17" t="s">
        <v>310</v>
      </c>
      <c r="C52" s="18"/>
      <c r="D52" s="29"/>
      <c r="F52" s="24"/>
      <c r="G52" s="24"/>
    </row>
    <row r="53" spans="2:6" ht="15">
      <c r="B53" s="22" t="s">
        <v>183</v>
      </c>
      <c r="C53" s="18"/>
      <c r="D53" s="146">
        <v>150000</v>
      </c>
      <c r="F53" s="202" t="s">
        <v>308</v>
      </c>
    </row>
    <row r="54" spans="2:6" ht="15">
      <c r="B54" s="22" t="s">
        <v>307</v>
      </c>
      <c r="C54" s="18"/>
      <c r="D54" s="146">
        <v>150000</v>
      </c>
      <c r="F54" s="199">
        <f>D43+D44+D45+D54</f>
        <v>367000</v>
      </c>
    </row>
    <row r="55" spans="2:4" ht="15">
      <c r="B55" s="22" t="s">
        <v>335</v>
      </c>
      <c r="C55" s="18"/>
      <c r="D55" s="146">
        <v>20000</v>
      </c>
    </row>
    <row r="56" spans="2:4" ht="15">
      <c r="B56" s="22" t="s">
        <v>336</v>
      </c>
      <c r="C56" s="18"/>
      <c r="D56" s="146">
        <v>5000</v>
      </c>
    </row>
    <row r="57" spans="2:4" ht="15">
      <c r="B57" s="22" t="s">
        <v>337</v>
      </c>
      <c r="C57" s="18"/>
      <c r="D57" s="146">
        <v>8000</v>
      </c>
    </row>
    <row r="58" spans="2:4" ht="15">
      <c r="B58" s="22" t="s">
        <v>428</v>
      </c>
      <c r="C58" s="18"/>
      <c r="D58" s="146">
        <v>40000</v>
      </c>
    </row>
    <row r="59" spans="2:4" ht="15">
      <c r="B59" s="22" t="s">
        <v>338</v>
      </c>
      <c r="C59" s="18"/>
      <c r="D59" s="146">
        <v>5000</v>
      </c>
    </row>
    <row r="60" spans="2:4" ht="15">
      <c r="B60" s="168" t="s">
        <v>185</v>
      </c>
      <c r="C60" s="18" t="s">
        <v>351</v>
      </c>
      <c r="D60" s="146">
        <v>45000</v>
      </c>
    </row>
    <row r="61" spans="2:4" ht="15">
      <c r="B61" s="145" t="s">
        <v>332</v>
      </c>
      <c r="C61" s="18"/>
      <c r="D61" s="146">
        <v>10000</v>
      </c>
    </row>
    <row r="62" spans="2:4" ht="15">
      <c r="B62" s="145" t="s">
        <v>339</v>
      </c>
      <c r="C62" s="18"/>
      <c r="D62" s="146">
        <v>20000</v>
      </c>
    </row>
    <row r="63" spans="2:4" ht="15">
      <c r="B63" s="145" t="s">
        <v>340</v>
      </c>
      <c r="C63" s="18"/>
      <c r="D63" s="146">
        <v>25000</v>
      </c>
    </row>
    <row r="64" spans="2:4" ht="15">
      <c r="B64" s="145" t="s">
        <v>333</v>
      </c>
      <c r="C64" s="18"/>
      <c r="D64" s="146">
        <v>0</v>
      </c>
    </row>
    <row r="65" spans="2:5" ht="15">
      <c r="B65" s="145" t="s">
        <v>334</v>
      </c>
      <c r="C65" s="18"/>
      <c r="D65" s="146">
        <v>0</v>
      </c>
      <c r="E65" t="s">
        <v>39</v>
      </c>
    </row>
    <row r="66" ht="12.75">
      <c r="E66" s="24">
        <f>SUM(D53:D65)</f>
        <v>478000</v>
      </c>
    </row>
    <row r="67" spans="2:4" ht="16.5">
      <c r="B67" s="20" t="s">
        <v>30</v>
      </c>
      <c r="C67" s="18" t="s">
        <v>31</v>
      </c>
      <c r="D67" s="244">
        <f>SUM(D37:D65)</f>
        <v>2192000</v>
      </c>
    </row>
    <row r="68" spans="2:4" ht="15.75">
      <c r="B68" s="21" t="s">
        <v>211</v>
      </c>
      <c r="C68" s="18"/>
      <c r="D68" s="200">
        <f>H32-D67</f>
        <v>423637.1118551744</v>
      </c>
    </row>
    <row r="69" ht="13.5">
      <c r="B69" s="15"/>
    </row>
    <row r="70" spans="2:6" ht="14.25">
      <c r="B70" s="201" t="s">
        <v>184</v>
      </c>
      <c r="F70" s="173"/>
    </row>
    <row r="71" ht="15">
      <c r="B71" s="16"/>
    </row>
    <row r="76" ht="12.75">
      <c r="C76" s="15"/>
    </row>
  </sheetData>
  <sheetProtection sheet="1" objects="1" scenarios="1"/>
  <mergeCells count="1">
    <mergeCell ref="B3:B4"/>
  </mergeCells>
  <printOptions/>
  <pageMargins left="0.75" right="0.75" top="1" bottom="1" header="0.5" footer="0.5"/>
  <pageSetup fitToHeight="1" fitToWidth="1" horizontalDpi="600" verticalDpi="600" orientation="portrait" scale="73"/>
  <legacyDrawing r:id="rId2"/>
</worksheet>
</file>

<file path=xl/worksheets/sheet4.xml><?xml version="1.0" encoding="utf-8"?>
<worksheet xmlns="http://schemas.openxmlformats.org/spreadsheetml/2006/main" xmlns:r="http://schemas.openxmlformats.org/officeDocument/2006/relationships">
  <dimension ref="B1:N28"/>
  <sheetViews>
    <sheetView zoomScale="150" zoomScaleNormal="15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1.8515625" style="23" customWidth="1"/>
    <col min="2" max="2" width="9.140625" style="23" customWidth="1"/>
    <col min="3" max="3" width="14.28125" style="79" bestFit="1" customWidth="1"/>
    <col min="4" max="4" width="17.421875" style="23" customWidth="1"/>
    <col min="5" max="5" width="8.00390625" style="23" customWidth="1"/>
    <col min="6" max="6" width="10.140625" style="23" customWidth="1"/>
    <col min="7" max="7" width="10.7109375" style="23" customWidth="1"/>
    <col min="8" max="8" width="8.00390625" style="23" customWidth="1"/>
    <col min="9" max="9" width="11.7109375" style="23" customWidth="1"/>
    <col min="10" max="10" width="11.28125" style="23" customWidth="1"/>
    <col min="11" max="11" width="12.421875" style="23" customWidth="1"/>
    <col min="12" max="12" width="13.00390625" style="23" customWidth="1"/>
    <col min="13" max="13" width="18.421875" style="23" customWidth="1"/>
    <col min="14" max="14" width="9.8515625" style="23" customWidth="1"/>
    <col min="15" max="15" width="11.421875" style="23" customWidth="1"/>
    <col min="16" max="16384" width="9.140625" style="23" customWidth="1"/>
  </cols>
  <sheetData>
    <row r="1" spans="2:6" ht="18" customHeight="1">
      <c r="B1" s="175" t="s">
        <v>10</v>
      </c>
      <c r="C1" s="175"/>
      <c r="D1" s="175"/>
      <c r="E1" s="175"/>
      <c r="F1" s="175"/>
    </row>
    <row r="2" spans="3:14" ht="76.5">
      <c r="C2" s="89" t="s">
        <v>54</v>
      </c>
      <c r="D2" s="89" t="s">
        <v>138</v>
      </c>
      <c r="E2" s="89" t="s">
        <v>139</v>
      </c>
      <c r="F2" s="89" t="s">
        <v>140</v>
      </c>
      <c r="G2" s="89" t="s">
        <v>141</v>
      </c>
      <c r="H2" s="89" t="s">
        <v>144</v>
      </c>
      <c r="I2" s="89" t="s">
        <v>147</v>
      </c>
      <c r="J2" s="48" t="s">
        <v>146</v>
      </c>
      <c r="K2" s="89" t="s">
        <v>275</v>
      </c>
      <c r="L2" s="89" t="s">
        <v>145</v>
      </c>
      <c r="M2" s="89" t="s">
        <v>274</v>
      </c>
      <c r="N2" s="89" t="s">
        <v>302</v>
      </c>
    </row>
    <row r="3" spans="3:14" ht="12.75">
      <c r="C3" s="89"/>
      <c r="D3" s="89"/>
      <c r="E3" s="89"/>
      <c r="F3" s="89"/>
      <c r="G3" s="89"/>
      <c r="H3" s="89"/>
      <c r="I3" s="89"/>
      <c r="J3" s="126"/>
      <c r="K3" s="89"/>
      <c r="L3" s="89"/>
      <c r="M3" s="89"/>
      <c r="N3" s="89"/>
    </row>
    <row r="4" spans="2:14" ht="24">
      <c r="B4" s="23" t="s">
        <v>249</v>
      </c>
      <c r="C4" s="92" t="str">
        <f>'2 Income Statement'!B5</f>
        <v>Container Crop 1</v>
      </c>
      <c r="D4" s="145">
        <v>12</v>
      </c>
      <c r="E4" s="145" t="s">
        <v>142</v>
      </c>
      <c r="F4" s="147">
        <v>47</v>
      </c>
      <c r="G4" s="145">
        <v>50</v>
      </c>
      <c r="H4" s="145" t="s">
        <v>156</v>
      </c>
      <c r="I4" s="135">
        <v>453.6</v>
      </c>
      <c r="J4" s="183">
        <f>G4*I4</f>
        <v>22680</v>
      </c>
      <c r="K4" s="127" t="str">
        <f>E4</f>
        <v>g</v>
      </c>
      <c r="L4" s="158">
        <v>1</v>
      </c>
      <c r="M4" s="158">
        <v>1</v>
      </c>
      <c r="N4" s="95">
        <f>IF(J4&gt;0,((D4*(F4/J4)*L4)/M4),0)</f>
        <v>0.02486772486772487</v>
      </c>
    </row>
    <row r="5" spans="2:14" ht="24">
      <c r="B5" s="23" t="s">
        <v>250</v>
      </c>
      <c r="C5" s="98" t="str">
        <f>'2 Income Statement'!B6</f>
        <v>Container Crop 2</v>
      </c>
      <c r="D5" s="145">
        <v>53</v>
      </c>
      <c r="E5" s="145" t="s">
        <v>142</v>
      </c>
      <c r="F5" s="147">
        <v>47</v>
      </c>
      <c r="G5" s="145">
        <v>50</v>
      </c>
      <c r="H5" s="145" t="s">
        <v>156</v>
      </c>
      <c r="I5" s="135">
        <v>453.6</v>
      </c>
      <c r="J5" s="183">
        <f aca="true" t="shared" si="0" ref="J5:J17">G5*I5</f>
        <v>22680</v>
      </c>
      <c r="K5" s="127" t="str">
        <f aca="true" t="shared" si="1" ref="K5:K17">E5</f>
        <v>g</v>
      </c>
      <c r="L5" s="158">
        <v>2</v>
      </c>
      <c r="M5" s="158">
        <v>1</v>
      </c>
      <c r="N5" s="95">
        <f aca="true" t="shared" si="2" ref="N5:N17">IF(J5&gt;0,((D5*(F5/J5)*L5)/M5),0)</f>
        <v>0.21966490299823635</v>
      </c>
    </row>
    <row r="6" spans="2:14" ht="24">
      <c r="B6" s="23" t="s">
        <v>251</v>
      </c>
      <c r="C6" s="98" t="str">
        <f>'2 Income Statement'!B7</f>
        <v>Container Crop 3</v>
      </c>
      <c r="D6" s="145">
        <v>132</v>
      </c>
      <c r="E6" s="145" t="s">
        <v>142</v>
      </c>
      <c r="F6" s="147">
        <v>47</v>
      </c>
      <c r="G6" s="145">
        <v>50</v>
      </c>
      <c r="H6" s="145" t="s">
        <v>156</v>
      </c>
      <c r="I6" s="135">
        <v>453.6</v>
      </c>
      <c r="J6" s="183">
        <f t="shared" si="0"/>
        <v>22680</v>
      </c>
      <c r="K6" s="127" t="str">
        <f t="shared" si="1"/>
        <v>g</v>
      </c>
      <c r="L6" s="158">
        <v>3</v>
      </c>
      <c r="M6" s="158">
        <v>1</v>
      </c>
      <c r="N6" s="95">
        <f t="shared" si="2"/>
        <v>0.8206349206349206</v>
      </c>
    </row>
    <row r="7" spans="2:14" ht="24">
      <c r="B7" s="23" t="s">
        <v>252</v>
      </c>
      <c r="C7" s="92" t="str">
        <f>'2 Income Statement'!B8</f>
        <v>Container Crop 4</v>
      </c>
      <c r="D7" s="145">
        <v>12</v>
      </c>
      <c r="E7" s="145" t="s">
        <v>142</v>
      </c>
      <c r="F7" s="147">
        <v>47</v>
      </c>
      <c r="G7" s="145">
        <v>50</v>
      </c>
      <c r="H7" s="145" t="s">
        <v>156</v>
      </c>
      <c r="I7" s="135">
        <v>453.6</v>
      </c>
      <c r="J7" s="183">
        <f t="shared" si="0"/>
        <v>22680</v>
      </c>
      <c r="K7" s="127" t="str">
        <f t="shared" si="1"/>
        <v>g</v>
      </c>
      <c r="L7" s="158">
        <v>1</v>
      </c>
      <c r="M7" s="158">
        <v>1</v>
      </c>
      <c r="N7" s="95">
        <f t="shared" si="2"/>
        <v>0.02486772486772487</v>
      </c>
    </row>
    <row r="8" spans="2:14" ht="24">
      <c r="B8" s="23" t="s">
        <v>253</v>
      </c>
      <c r="C8" s="98" t="str">
        <f>'2 Income Statement'!B9</f>
        <v>Container Crop 5</v>
      </c>
      <c r="D8" s="145">
        <v>53</v>
      </c>
      <c r="E8" s="145" t="s">
        <v>142</v>
      </c>
      <c r="F8" s="147">
        <v>47</v>
      </c>
      <c r="G8" s="145">
        <v>50</v>
      </c>
      <c r="H8" s="145" t="s">
        <v>156</v>
      </c>
      <c r="I8" s="135">
        <v>453.6</v>
      </c>
      <c r="J8" s="183">
        <f t="shared" si="0"/>
        <v>22680</v>
      </c>
      <c r="K8" s="127" t="str">
        <f t="shared" si="1"/>
        <v>g</v>
      </c>
      <c r="L8" s="158">
        <v>2</v>
      </c>
      <c r="M8" s="158">
        <v>1</v>
      </c>
      <c r="N8" s="95">
        <f t="shared" si="2"/>
        <v>0.21966490299823635</v>
      </c>
    </row>
    <row r="9" spans="2:14" ht="24">
      <c r="B9" s="23" t="s">
        <v>254</v>
      </c>
      <c r="C9" s="98" t="str">
        <f>'2 Income Statement'!B10</f>
        <v>Container Crop 6</v>
      </c>
      <c r="D9" s="145">
        <v>132</v>
      </c>
      <c r="E9" s="145" t="s">
        <v>142</v>
      </c>
      <c r="F9" s="147">
        <v>47</v>
      </c>
      <c r="G9" s="145">
        <v>50</v>
      </c>
      <c r="H9" s="145" t="s">
        <v>156</v>
      </c>
      <c r="I9" s="135">
        <v>453.6</v>
      </c>
      <c r="J9" s="183">
        <f t="shared" si="0"/>
        <v>22680</v>
      </c>
      <c r="K9" s="127" t="str">
        <f t="shared" si="1"/>
        <v>g</v>
      </c>
      <c r="L9" s="158">
        <v>3</v>
      </c>
      <c r="M9" s="158">
        <v>1</v>
      </c>
      <c r="N9" s="95">
        <f t="shared" si="2"/>
        <v>0.8206349206349206</v>
      </c>
    </row>
    <row r="10" spans="2:14" ht="24">
      <c r="B10" s="23" t="s">
        <v>255</v>
      </c>
      <c r="C10" s="92" t="str">
        <f>'2 Income Statement'!B11</f>
        <v>Container Crop 7</v>
      </c>
      <c r="D10" s="145">
        <v>12</v>
      </c>
      <c r="E10" s="145" t="s">
        <v>142</v>
      </c>
      <c r="F10" s="147">
        <v>47</v>
      </c>
      <c r="G10" s="145">
        <v>50</v>
      </c>
      <c r="H10" s="145" t="s">
        <v>156</v>
      </c>
      <c r="I10" s="135">
        <v>453.6</v>
      </c>
      <c r="J10" s="183">
        <f t="shared" si="0"/>
        <v>22680</v>
      </c>
      <c r="K10" s="127" t="str">
        <f t="shared" si="1"/>
        <v>g</v>
      </c>
      <c r="L10" s="158">
        <v>1</v>
      </c>
      <c r="M10" s="158">
        <v>1</v>
      </c>
      <c r="N10" s="95">
        <f t="shared" si="2"/>
        <v>0.02486772486772487</v>
      </c>
    </row>
    <row r="11" spans="2:14" ht="24">
      <c r="B11" s="23" t="s">
        <v>256</v>
      </c>
      <c r="C11" s="98" t="str">
        <f>'2 Income Statement'!B12</f>
        <v>Container Crop 8</v>
      </c>
      <c r="D11" s="145">
        <v>53</v>
      </c>
      <c r="E11" s="145" t="s">
        <v>142</v>
      </c>
      <c r="F11" s="147">
        <v>47</v>
      </c>
      <c r="G11" s="145">
        <v>50</v>
      </c>
      <c r="H11" s="145" t="s">
        <v>156</v>
      </c>
      <c r="I11" s="135">
        <v>453.6</v>
      </c>
      <c r="J11" s="183">
        <f t="shared" si="0"/>
        <v>22680</v>
      </c>
      <c r="K11" s="127" t="str">
        <f t="shared" si="1"/>
        <v>g</v>
      </c>
      <c r="L11" s="158">
        <v>2</v>
      </c>
      <c r="M11" s="158">
        <v>1</v>
      </c>
      <c r="N11" s="95">
        <f t="shared" si="2"/>
        <v>0.21966490299823635</v>
      </c>
    </row>
    <row r="12" spans="2:14" ht="24">
      <c r="B12" s="23" t="s">
        <v>257</v>
      </c>
      <c r="C12" s="98" t="str">
        <f>'2 Income Statement'!B13</f>
        <v>Container Crop 9</v>
      </c>
      <c r="D12" s="145">
        <v>132</v>
      </c>
      <c r="E12" s="145" t="s">
        <v>142</v>
      </c>
      <c r="F12" s="147">
        <v>47</v>
      </c>
      <c r="G12" s="145">
        <v>50</v>
      </c>
      <c r="H12" s="145" t="s">
        <v>156</v>
      </c>
      <c r="I12" s="135">
        <v>453.6</v>
      </c>
      <c r="J12" s="183">
        <f t="shared" si="0"/>
        <v>22680</v>
      </c>
      <c r="K12" s="127" t="str">
        <f t="shared" si="1"/>
        <v>g</v>
      </c>
      <c r="L12" s="158">
        <v>3</v>
      </c>
      <c r="M12" s="158">
        <v>1</v>
      </c>
      <c r="N12" s="95">
        <f t="shared" si="2"/>
        <v>0.8206349206349206</v>
      </c>
    </row>
    <row r="13" spans="2:14" ht="12.75">
      <c r="B13" s="23" t="s">
        <v>258</v>
      </c>
      <c r="C13" s="92" t="str">
        <f>'2 Income Statement'!B14</f>
        <v>Field Crop 1</v>
      </c>
      <c r="D13" s="145">
        <v>200</v>
      </c>
      <c r="E13" s="145" t="s">
        <v>156</v>
      </c>
      <c r="F13" s="147">
        <v>300</v>
      </c>
      <c r="G13" s="145">
        <v>1</v>
      </c>
      <c r="H13" s="145" t="s">
        <v>143</v>
      </c>
      <c r="I13" s="135">
        <v>2000</v>
      </c>
      <c r="J13" s="183">
        <f t="shared" si="0"/>
        <v>2000</v>
      </c>
      <c r="K13" s="127" t="str">
        <f t="shared" si="1"/>
        <v>lbs</v>
      </c>
      <c r="L13" s="158">
        <v>6</v>
      </c>
      <c r="M13" s="158">
        <f>'1 Enterprises'!M14</f>
        <v>338.79999999999995</v>
      </c>
      <c r="N13" s="95">
        <f t="shared" si="2"/>
        <v>0.5312868949232586</v>
      </c>
    </row>
    <row r="14" spans="2:14" ht="12.75">
      <c r="B14" s="23" t="s">
        <v>259</v>
      </c>
      <c r="C14" s="98" t="str">
        <f>'2 Income Statement'!B15</f>
        <v>Field Crop 2</v>
      </c>
      <c r="D14" s="145">
        <v>200</v>
      </c>
      <c r="E14" s="145" t="s">
        <v>156</v>
      </c>
      <c r="F14" s="147">
        <v>300</v>
      </c>
      <c r="G14" s="145">
        <v>1</v>
      </c>
      <c r="H14" s="145" t="s">
        <v>143</v>
      </c>
      <c r="I14" s="135">
        <v>2000</v>
      </c>
      <c r="J14" s="183">
        <f t="shared" si="0"/>
        <v>2000</v>
      </c>
      <c r="K14" s="127" t="str">
        <f t="shared" si="1"/>
        <v>lbs</v>
      </c>
      <c r="L14" s="158">
        <v>6</v>
      </c>
      <c r="M14" s="158">
        <f>'1 Enterprises'!N14</f>
        <v>338.79999999999995</v>
      </c>
      <c r="N14" s="95">
        <f t="shared" si="2"/>
        <v>0.5312868949232586</v>
      </c>
    </row>
    <row r="15" spans="2:14" ht="12.75">
      <c r="B15" s="23" t="s">
        <v>260</v>
      </c>
      <c r="C15" s="92" t="str">
        <f>'2 Income Statement'!B16</f>
        <v>Field Crop 3</v>
      </c>
      <c r="D15" s="145">
        <v>200</v>
      </c>
      <c r="E15" s="145" t="s">
        <v>156</v>
      </c>
      <c r="F15" s="147">
        <v>300</v>
      </c>
      <c r="G15" s="145">
        <v>1</v>
      </c>
      <c r="H15" s="145" t="s">
        <v>143</v>
      </c>
      <c r="I15" s="135">
        <v>2000</v>
      </c>
      <c r="J15" s="183">
        <f t="shared" si="0"/>
        <v>2000</v>
      </c>
      <c r="K15" s="127" t="str">
        <f t="shared" si="1"/>
        <v>lbs</v>
      </c>
      <c r="L15" s="158">
        <v>6</v>
      </c>
      <c r="M15" s="158">
        <f>'1 Enterprises'!O14</f>
        <v>338.79999999999995</v>
      </c>
      <c r="N15" s="95">
        <f t="shared" si="2"/>
        <v>0.5312868949232586</v>
      </c>
    </row>
    <row r="16" spans="2:14" ht="24">
      <c r="B16" s="23" t="s">
        <v>261</v>
      </c>
      <c r="C16" s="98" t="str">
        <f>'2 Income Statement'!B17</f>
        <v>Container Crop 10</v>
      </c>
      <c r="D16" s="145"/>
      <c r="E16" s="145"/>
      <c r="F16" s="147"/>
      <c r="G16" s="145"/>
      <c r="H16" s="145"/>
      <c r="I16" s="135"/>
      <c r="J16" s="127">
        <f t="shared" si="0"/>
        <v>0</v>
      </c>
      <c r="K16" s="127">
        <f t="shared" si="1"/>
        <v>0</v>
      </c>
      <c r="L16" s="158"/>
      <c r="M16" s="158">
        <v>1</v>
      </c>
      <c r="N16" s="95">
        <f t="shared" si="2"/>
        <v>0</v>
      </c>
    </row>
    <row r="17" spans="2:14" ht="24">
      <c r="B17" s="23" t="s">
        <v>262</v>
      </c>
      <c r="C17" s="169" t="str">
        <f>'2 Income Statement'!B18</f>
        <v>Container Crop 11</v>
      </c>
      <c r="D17" s="145"/>
      <c r="E17" s="145"/>
      <c r="F17" s="147"/>
      <c r="G17" s="145"/>
      <c r="H17" s="145"/>
      <c r="I17" s="135"/>
      <c r="J17" s="127">
        <f t="shared" si="0"/>
        <v>0</v>
      </c>
      <c r="K17" s="127">
        <f t="shared" si="1"/>
        <v>0</v>
      </c>
      <c r="L17" s="158"/>
      <c r="M17" s="158">
        <v>1</v>
      </c>
      <c r="N17" s="95">
        <f t="shared" si="2"/>
        <v>0</v>
      </c>
    </row>
    <row r="18" spans="2:14" ht="24">
      <c r="B18" s="23" t="s">
        <v>263</v>
      </c>
      <c r="C18" s="169" t="str">
        <f>'2 Income Statement'!B19</f>
        <v>Container Crop 12</v>
      </c>
      <c r="D18" s="145"/>
      <c r="E18" s="145"/>
      <c r="F18" s="147"/>
      <c r="G18" s="145"/>
      <c r="H18" s="145"/>
      <c r="I18" s="135"/>
      <c r="J18" s="127">
        <f aca="true" t="shared" si="3" ref="J18:J28">G18*I18</f>
        <v>0</v>
      </c>
      <c r="K18" s="127">
        <f aca="true" t="shared" si="4" ref="K18:K28">E18</f>
        <v>0</v>
      </c>
      <c r="L18" s="158"/>
      <c r="M18" s="158">
        <v>1</v>
      </c>
      <c r="N18" s="95">
        <f aca="true" t="shared" si="5" ref="N18:N28">IF(J18&gt;0,((D18*(F18/J18)*L18)/M18),0)</f>
        <v>0</v>
      </c>
    </row>
    <row r="19" spans="2:14" ht="24">
      <c r="B19" s="23" t="s">
        <v>264</v>
      </c>
      <c r="C19" s="169" t="str">
        <f>'2 Income Statement'!B20</f>
        <v>Container Crop 13</v>
      </c>
      <c r="D19" s="145"/>
      <c r="E19" s="145"/>
      <c r="F19" s="147"/>
      <c r="G19" s="145"/>
      <c r="H19" s="145"/>
      <c r="I19" s="135"/>
      <c r="J19" s="127">
        <f t="shared" si="3"/>
        <v>0</v>
      </c>
      <c r="K19" s="127">
        <f t="shared" si="4"/>
        <v>0</v>
      </c>
      <c r="L19" s="158"/>
      <c r="M19" s="158">
        <v>1</v>
      </c>
      <c r="N19" s="95">
        <f t="shared" si="5"/>
        <v>0</v>
      </c>
    </row>
    <row r="20" spans="2:14" ht="24">
      <c r="B20" s="23" t="s">
        <v>265</v>
      </c>
      <c r="C20" s="169" t="str">
        <f>'2 Income Statement'!B21</f>
        <v>Container Crop 14</v>
      </c>
      <c r="D20" s="145"/>
      <c r="E20" s="145"/>
      <c r="F20" s="147"/>
      <c r="G20" s="145"/>
      <c r="H20" s="145"/>
      <c r="I20" s="135"/>
      <c r="J20" s="127">
        <f t="shared" si="3"/>
        <v>0</v>
      </c>
      <c r="K20" s="127">
        <f t="shared" si="4"/>
        <v>0</v>
      </c>
      <c r="L20" s="158"/>
      <c r="M20" s="158">
        <v>1</v>
      </c>
      <c r="N20" s="95">
        <f t="shared" si="5"/>
        <v>0</v>
      </c>
    </row>
    <row r="21" spans="2:14" ht="24">
      <c r="B21" s="23" t="s">
        <v>266</v>
      </c>
      <c r="C21" s="169" t="str">
        <f>'2 Income Statement'!B22</f>
        <v>Container Crop 15</v>
      </c>
      <c r="D21" s="145"/>
      <c r="E21" s="145"/>
      <c r="F21" s="147"/>
      <c r="G21" s="145"/>
      <c r="H21" s="145"/>
      <c r="I21" s="135"/>
      <c r="J21" s="127">
        <f t="shared" si="3"/>
        <v>0</v>
      </c>
      <c r="K21" s="127">
        <f t="shared" si="4"/>
        <v>0</v>
      </c>
      <c r="L21" s="158"/>
      <c r="M21" s="158">
        <v>1</v>
      </c>
      <c r="N21" s="95">
        <f t="shared" si="5"/>
        <v>0</v>
      </c>
    </row>
    <row r="22" spans="2:14" ht="24">
      <c r="B22" s="23" t="s">
        <v>267</v>
      </c>
      <c r="C22" s="169" t="str">
        <f>'2 Income Statement'!B23</f>
        <v>Container Crop 16</v>
      </c>
      <c r="D22" s="145"/>
      <c r="E22" s="145"/>
      <c r="F22" s="147"/>
      <c r="G22" s="145"/>
      <c r="H22" s="145"/>
      <c r="I22" s="135"/>
      <c r="J22" s="127">
        <f t="shared" si="3"/>
        <v>0</v>
      </c>
      <c r="K22" s="127">
        <f t="shared" si="4"/>
        <v>0</v>
      </c>
      <c r="L22" s="158"/>
      <c r="M22" s="158">
        <v>1</v>
      </c>
      <c r="N22" s="95">
        <f t="shared" si="5"/>
        <v>0</v>
      </c>
    </row>
    <row r="23" spans="2:14" ht="24">
      <c r="B23" s="23" t="s">
        <v>268</v>
      </c>
      <c r="C23" s="169" t="str">
        <f>'2 Income Statement'!B24</f>
        <v>Container Crop 17</v>
      </c>
      <c r="D23" s="145"/>
      <c r="E23" s="145"/>
      <c r="F23" s="147"/>
      <c r="G23" s="145"/>
      <c r="H23" s="145"/>
      <c r="I23" s="135"/>
      <c r="J23" s="127">
        <f t="shared" si="3"/>
        <v>0</v>
      </c>
      <c r="K23" s="127">
        <f t="shared" si="4"/>
        <v>0</v>
      </c>
      <c r="L23" s="158"/>
      <c r="M23" s="158">
        <v>1</v>
      </c>
      <c r="N23" s="95">
        <f t="shared" si="5"/>
        <v>0</v>
      </c>
    </row>
    <row r="24" spans="2:14" ht="24">
      <c r="B24" s="23" t="s">
        <v>269</v>
      </c>
      <c r="C24" s="169" t="str">
        <f>'2 Income Statement'!B25</f>
        <v>Container Crop 18</v>
      </c>
      <c r="D24" s="145"/>
      <c r="E24" s="145"/>
      <c r="F24" s="147"/>
      <c r="G24" s="145"/>
      <c r="H24" s="145"/>
      <c r="I24" s="135"/>
      <c r="J24" s="127">
        <f t="shared" si="3"/>
        <v>0</v>
      </c>
      <c r="K24" s="127">
        <f t="shared" si="4"/>
        <v>0</v>
      </c>
      <c r="L24" s="158"/>
      <c r="M24" s="158">
        <v>1</v>
      </c>
      <c r="N24" s="95">
        <f t="shared" si="5"/>
        <v>0</v>
      </c>
    </row>
    <row r="25" spans="2:14" ht="12.75">
      <c r="B25" s="23" t="s">
        <v>270</v>
      </c>
      <c r="C25" s="169" t="str">
        <f>'2 Income Statement'!B26</f>
        <v>Field Crop 4</v>
      </c>
      <c r="D25" s="145"/>
      <c r="E25" s="145"/>
      <c r="F25" s="147"/>
      <c r="G25" s="145"/>
      <c r="H25" s="145"/>
      <c r="I25" s="135"/>
      <c r="J25" s="127">
        <f t="shared" si="3"/>
        <v>0</v>
      </c>
      <c r="K25" s="127">
        <f t="shared" si="4"/>
        <v>0</v>
      </c>
      <c r="L25" s="158"/>
      <c r="M25" s="158">
        <f>'1 Enterprises'!Z14</f>
        <v>338.79999999999995</v>
      </c>
      <c r="N25" s="95">
        <f t="shared" si="5"/>
        <v>0</v>
      </c>
    </row>
    <row r="26" spans="2:14" ht="12.75">
      <c r="B26" s="23" t="s">
        <v>271</v>
      </c>
      <c r="C26" s="169" t="str">
        <f>'2 Income Statement'!B27</f>
        <v>Field Crop 5</v>
      </c>
      <c r="D26" s="145"/>
      <c r="E26" s="145"/>
      <c r="F26" s="147"/>
      <c r="G26" s="145"/>
      <c r="H26" s="145"/>
      <c r="I26" s="135"/>
      <c r="J26" s="127">
        <f t="shared" si="3"/>
        <v>0</v>
      </c>
      <c r="K26" s="127">
        <f t="shared" si="4"/>
        <v>0</v>
      </c>
      <c r="L26" s="158"/>
      <c r="M26" s="158">
        <f>'1 Enterprises'!Z14</f>
        <v>338.79999999999995</v>
      </c>
      <c r="N26" s="95">
        <f t="shared" si="5"/>
        <v>0</v>
      </c>
    </row>
    <row r="27" spans="2:14" ht="12.75">
      <c r="B27" s="23" t="s">
        <v>272</v>
      </c>
      <c r="C27" s="169" t="str">
        <f>'2 Income Statement'!B28</f>
        <v>Field Crop 6</v>
      </c>
      <c r="D27" s="145"/>
      <c r="E27" s="145"/>
      <c r="F27" s="147"/>
      <c r="G27" s="145"/>
      <c r="H27" s="145"/>
      <c r="I27" s="135"/>
      <c r="J27" s="127">
        <f t="shared" si="3"/>
        <v>0</v>
      </c>
      <c r="K27" s="127">
        <f t="shared" si="4"/>
        <v>0</v>
      </c>
      <c r="L27" s="158"/>
      <c r="M27" s="158">
        <f>'1 Enterprises'!AA14</f>
        <v>338.79999999999995</v>
      </c>
      <c r="N27" s="95">
        <f t="shared" si="5"/>
        <v>0</v>
      </c>
    </row>
    <row r="28" spans="2:14" ht="12.75">
      <c r="B28" s="23" t="s">
        <v>273</v>
      </c>
      <c r="C28" s="169" t="str">
        <f>'2 Income Statement'!B29</f>
        <v>Field Crop 7</v>
      </c>
      <c r="D28" s="145"/>
      <c r="E28" s="145"/>
      <c r="F28" s="147"/>
      <c r="G28" s="145"/>
      <c r="H28" s="145"/>
      <c r="I28" s="135"/>
      <c r="J28" s="127">
        <f t="shared" si="3"/>
        <v>0</v>
      </c>
      <c r="K28" s="127">
        <f t="shared" si="4"/>
        <v>0</v>
      </c>
      <c r="L28" s="158"/>
      <c r="M28" s="158">
        <f>'1 Enterprises'!AB14</f>
        <v>338.79999999999995</v>
      </c>
      <c r="N28" s="95">
        <f t="shared" si="5"/>
        <v>0</v>
      </c>
    </row>
  </sheetData>
  <sheetProtection/>
  <printOptions/>
  <pageMargins left="0.75" right="0.75" top="1" bottom="1" header="0.5" footer="0.5"/>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B1:O272"/>
  <sheetViews>
    <sheetView zoomScale="150" zoomScaleNormal="15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2.28125" style="31" customWidth="1"/>
    <col min="2" max="2" width="6.00390625" style="31" customWidth="1"/>
    <col min="3" max="3" width="19.00390625" style="39" customWidth="1"/>
    <col min="4" max="4" width="15.8515625" style="31" customWidth="1"/>
    <col min="5" max="5" width="10.28125" style="31" customWidth="1"/>
    <col min="6" max="6" width="10.8515625" style="31" customWidth="1"/>
    <col min="7" max="7" width="15.8515625" style="31" customWidth="1"/>
    <col min="8" max="8" width="12.7109375" style="31" customWidth="1"/>
    <col min="9" max="9" width="12.421875" style="31" customWidth="1"/>
    <col min="10" max="10" width="6.140625" style="31" customWidth="1"/>
    <col min="11" max="11" width="10.140625" style="31" customWidth="1"/>
    <col min="12" max="12" width="12.00390625" style="31" bestFit="1" customWidth="1"/>
    <col min="13" max="13" width="9.140625" style="31" customWidth="1"/>
    <col min="14" max="14" width="20.00390625" style="31" customWidth="1"/>
    <col min="15" max="15" width="10.421875" style="31" customWidth="1"/>
    <col min="16" max="16384" width="9.140625" style="31" customWidth="1"/>
  </cols>
  <sheetData>
    <row r="1" spans="2:5" ht="18.75" customHeight="1" thickBot="1">
      <c r="B1" s="175" t="s">
        <v>347</v>
      </c>
      <c r="C1" s="176"/>
      <c r="D1" s="176"/>
      <c r="E1" s="176"/>
    </row>
    <row r="2" spans="3:15" ht="60">
      <c r="C2" s="89" t="s">
        <v>54</v>
      </c>
      <c r="D2" s="89" t="s">
        <v>157</v>
      </c>
      <c r="E2" s="89" t="s">
        <v>159</v>
      </c>
      <c r="F2" s="89" t="s">
        <v>49</v>
      </c>
      <c r="G2" s="89" t="s">
        <v>58</v>
      </c>
      <c r="H2" s="89" t="s">
        <v>158</v>
      </c>
      <c r="I2" s="89" t="s">
        <v>213</v>
      </c>
      <c r="J2" s="89" t="s">
        <v>45</v>
      </c>
      <c r="K2" s="89" t="s">
        <v>59</v>
      </c>
      <c r="L2" s="89" t="s">
        <v>56</v>
      </c>
      <c r="N2" s="90" t="s">
        <v>54</v>
      </c>
      <c r="O2" s="91" t="s">
        <v>55</v>
      </c>
    </row>
    <row r="3" spans="3:15" ht="12">
      <c r="C3" s="89"/>
      <c r="D3" s="89"/>
      <c r="E3" s="89"/>
      <c r="F3" s="89"/>
      <c r="G3" s="89"/>
      <c r="H3" s="89"/>
      <c r="I3" s="89"/>
      <c r="J3" s="89"/>
      <c r="K3" s="89"/>
      <c r="L3" s="89"/>
      <c r="N3" s="271" t="s">
        <v>214</v>
      </c>
      <c r="O3" s="272"/>
    </row>
    <row r="4" spans="3:15" ht="12.75">
      <c r="C4" s="275" t="s">
        <v>153</v>
      </c>
      <c r="D4" s="276"/>
      <c r="E4" s="276"/>
      <c r="F4" s="276"/>
      <c r="G4" s="276"/>
      <c r="H4" s="276"/>
      <c r="I4" s="276"/>
      <c r="J4" s="276"/>
      <c r="K4" s="276"/>
      <c r="L4" s="277"/>
      <c r="N4" s="273"/>
      <c r="O4" s="274"/>
    </row>
    <row r="5" spans="2:15" ht="12.75">
      <c r="B5" s="31" t="s">
        <v>276</v>
      </c>
      <c r="C5" s="92" t="str">
        <f>'2 Income Statement'!B5</f>
        <v>Container Crop 1</v>
      </c>
      <c r="D5" s="145">
        <v>12</v>
      </c>
      <c r="E5" s="145" t="s">
        <v>156</v>
      </c>
      <c r="F5" s="147">
        <v>119</v>
      </c>
      <c r="G5" s="145">
        <v>50</v>
      </c>
      <c r="H5" s="145" t="s">
        <v>156</v>
      </c>
      <c r="I5" s="158">
        <v>2</v>
      </c>
      <c r="J5" s="93">
        <f>IF(G5&gt;0,(D5*(F5/G5)),0)</f>
        <v>28.56</v>
      </c>
      <c r="K5" s="94">
        <f>'1 Enterprises'!D$14</f>
        <v>32670</v>
      </c>
      <c r="L5" s="95">
        <f>IF(K5&gt;0,((J5/K5)*I5),0)</f>
        <v>0.0017483930211202939</v>
      </c>
      <c r="N5" s="96" t="str">
        <f aca="true" t="shared" si="0" ref="N5:N18">C5</f>
        <v>Container Crop 1</v>
      </c>
      <c r="O5" s="97">
        <f>SUM(L5,L32,L59,L86,L113,L140,L167,L194,L221,L248)</f>
        <v>0.010567646158555249</v>
      </c>
    </row>
    <row r="6" spans="2:15" ht="12.75">
      <c r="B6" s="31" t="s">
        <v>277</v>
      </c>
      <c r="C6" s="98" t="str">
        <f>'2 Income Statement'!B6</f>
        <v>Container Crop 2</v>
      </c>
      <c r="D6" s="145">
        <v>12</v>
      </c>
      <c r="E6" s="145" t="s">
        <v>156</v>
      </c>
      <c r="F6" s="147">
        <v>119</v>
      </c>
      <c r="G6" s="145">
        <v>50</v>
      </c>
      <c r="H6" s="145" t="s">
        <v>156</v>
      </c>
      <c r="I6" s="158">
        <v>3</v>
      </c>
      <c r="J6" s="93">
        <f aca="true" t="shared" si="1" ref="J6:J18">IF(G6&gt;0,(D6*(F6/G6)),0)</f>
        <v>28.56</v>
      </c>
      <c r="K6" s="99">
        <f>'1 Enterprises'!E$14</f>
        <v>14520</v>
      </c>
      <c r="L6" s="95">
        <f aca="true" t="shared" si="2" ref="L6:L18">IF(K6&gt;0,((J6/K6)*I6),0)</f>
        <v>0.005900826446280992</v>
      </c>
      <c r="N6" s="96" t="str">
        <f t="shared" si="0"/>
        <v>Container Crop 2</v>
      </c>
      <c r="O6" s="97">
        <f aca="true" t="shared" si="3" ref="O6:O29">SUM(L6,L33,L60,L87,L114,L141,L168,L195,L222,L249)</f>
        <v>0.03822692837465565</v>
      </c>
    </row>
    <row r="7" spans="2:15" ht="12.75">
      <c r="B7" s="31" t="s">
        <v>278</v>
      </c>
      <c r="C7" s="98" t="str">
        <f>'2 Income Statement'!B7</f>
        <v>Container Crop 3</v>
      </c>
      <c r="D7" s="145">
        <v>12</v>
      </c>
      <c r="E7" s="145" t="s">
        <v>156</v>
      </c>
      <c r="F7" s="147">
        <v>119</v>
      </c>
      <c r="G7" s="145">
        <v>50</v>
      </c>
      <c r="H7" s="145" t="s">
        <v>156</v>
      </c>
      <c r="I7" s="158">
        <v>5</v>
      </c>
      <c r="J7" s="93">
        <f t="shared" si="1"/>
        <v>28.56</v>
      </c>
      <c r="K7" s="99">
        <f>'1 Enterprises'!F$14</f>
        <v>6453.333333333333</v>
      </c>
      <c r="L7" s="95">
        <f t="shared" si="2"/>
        <v>0.02212809917355372</v>
      </c>
      <c r="N7" s="96" t="str">
        <f t="shared" si="0"/>
        <v>Container Crop 3</v>
      </c>
      <c r="O7" s="97">
        <f t="shared" si="3"/>
        <v>0.13950929752066116</v>
      </c>
    </row>
    <row r="8" spans="2:15" ht="12.75">
      <c r="B8" s="31" t="s">
        <v>279</v>
      </c>
      <c r="C8" s="98" t="str">
        <f>'2 Income Statement'!B8</f>
        <v>Container Crop 4</v>
      </c>
      <c r="D8" s="145">
        <v>12</v>
      </c>
      <c r="E8" s="145" t="s">
        <v>156</v>
      </c>
      <c r="F8" s="147">
        <v>119</v>
      </c>
      <c r="G8" s="145">
        <v>50</v>
      </c>
      <c r="H8" s="145" t="s">
        <v>156</v>
      </c>
      <c r="I8" s="158">
        <v>2</v>
      </c>
      <c r="J8" s="93">
        <f t="shared" si="1"/>
        <v>28.56</v>
      </c>
      <c r="K8" s="99">
        <f>'1 Enterprises'!G$14</f>
        <v>32670</v>
      </c>
      <c r="L8" s="95">
        <f t="shared" si="2"/>
        <v>0.0017483930211202939</v>
      </c>
      <c r="N8" s="96" t="str">
        <f t="shared" si="0"/>
        <v>Container Crop 4</v>
      </c>
      <c r="O8" s="97">
        <f t="shared" si="3"/>
        <v>0.010567646158555249</v>
      </c>
    </row>
    <row r="9" spans="2:15" ht="12.75">
      <c r="B9" s="31" t="s">
        <v>280</v>
      </c>
      <c r="C9" s="98" t="str">
        <f>'2 Income Statement'!B9</f>
        <v>Container Crop 5</v>
      </c>
      <c r="D9" s="145">
        <v>12</v>
      </c>
      <c r="E9" s="145" t="s">
        <v>156</v>
      </c>
      <c r="F9" s="147">
        <v>119</v>
      </c>
      <c r="G9" s="145">
        <v>50</v>
      </c>
      <c r="H9" s="145" t="s">
        <v>156</v>
      </c>
      <c r="I9" s="158">
        <v>3</v>
      </c>
      <c r="J9" s="93">
        <f t="shared" si="1"/>
        <v>28.56</v>
      </c>
      <c r="K9" s="99">
        <f>'1 Enterprises'!H$14</f>
        <v>14520</v>
      </c>
      <c r="L9" s="95">
        <f t="shared" si="2"/>
        <v>0.005900826446280992</v>
      </c>
      <c r="N9" s="96" t="str">
        <f t="shared" si="0"/>
        <v>Container Crop 5</v>
      </c>
      <c r="O9" s="97">
        <f t="shared" si="3"/>
        <v>0.03822692837465565</v>
      </c>
    </row>
    <row r="10" spans="2:15" ht="12.75">
      <c r="B10" s="31" t="s">
        <v>281</v>
      </c>
      <c r="C10" s="98" t="str">
        <f>'2 Income Statement'!B10</f>
        <v>Container Crop 6</v>
      </c>
      <c r="D10" s="145">
        <v>12</v>
      </c>
      <c r="E10" s="145" t="s">
        <v>156</v>
      </c>
      <c r="F10" s="147">
        <v>119</v>
      </c>
      <c r="G10" s="145">
        <v>50</v>
      </c>
      <c r="H10" s="145" t="s">
        <v>156</v>
      </c>
      <c r="I10" s="158">
        <v>5</v>
      </c>
      <c r="J10" s="93">
        <f t="shared" si="1"/>
        <v>28.56</v>
      </c>
      <c r="K10" s="99">
        <f>'1 Enterprises'!I$14</f>
        <v>6453.333333333333</v>
      </c>
      <c r="L10" s="95">
        <f t="shared" si="2"/>
        <v>0.02212809917355372</v>
      </c>
      <c r="N10" s="96" t="str">
        <f t="shared" si="0"/>
        <v>Container Crop 6</v>
      </c>
      <c r="O10" s="97">
        <f t="shared" si="3"/>
        <v>0.13950929752066116</v>
      </c>
    </row>
    <row r="11" spans="2:15" ht="12.75">
      <c r="B11" s="31" t="s">
        <v>282</v>
      </c>
      <c r="C11" s="98" t="str">
        <f>'2 Income Statement'!B11</f>
        <v>Container Crop 7</v>
      </c>
      <c r="D11" s="145">
        <v>12</v>
      </c>
      <c r="E11" s="145" t="s">
        <v>156</v>
      </c>
      <c r="F11" s="147">
        <v>119</v>
      </c>
      <c r="G11" s="145">
        <v>50</v>
      </c>
      <c r="H11" s="145" t="s">
        <v>156</v>
      </c>
      <c r="I11" s="158">
        <v>2</v>
      </c>
      <c r="J11" s="93">
        <f t="shared" si="1"/>
        <v>28.56</v>
      </c>
      <c r="K11" s="99">
        <f>'1 Enterprises'!J$14</f>
        <v>32670</v>
      </c>
      <c r="L11" s="95">
        <f t="shared" si="2"/>
        <v>0.0017483930211202939</v>
      </c>
      <c r="N11" s="96" t="str">
        <f t="shared" si="0"/>
        <v>Container Crop 7</v>
      </c>
      <c r="O11" s="97">
        <f t="shared" si="3"/>
        <v>0.010567646158555249</v>
      </c>
    </row>
    <row r="12" spans="2:15" ht="12.75">
      <c r="B12" s="31" t="s">
        <v>283</v>
      </c>
      <c r="C12" s="48" t="str">
        <f>'2 Income Statement'!B12</f>
        <v>Container Crop 8</v>
      </c>
      <c r="D12" s="145">
        <v>12</v>
      </c>
      <c r="E12" s="145" t="s">
        <v>156</v>
      </c>
      <c r="F12" s="147">
        <v>119</v>
      </c>
      <c r="G12" s="145">
        <v>50</v>
      </c>
      <c r="H12" s="145" t="s">
        <v>156</v>
      </c>
      <c r="I12" s="158">
        <v>3</v>
      </c>
      <c r="J12" s="93">
        <f t="shared" si="1"/>
        <v>28.56</v>
      </c>
      <c r="K12" s="100">
        <f>'1 Enterprises'!K$14</f>
        <v>14520</v>
      </c>
      <c r="L12" s="95">
        <f t="shared" si="2"/>
        <v>0.005900826446280992</v>
      </c>
      <c r="N12" s="96" t="str">
        <f t="shared" si="0"/>
        <v>Container Crop 8</v>
      </c>
      <c r="O12" s="97">
        <f t="shared" si="3"/>
        <v>0.03822692837465565</v>
      </c>
    </row>
    <row r="13" spans="2:15" ht="12.75">
      <c r="B13" s="31" t="s">
        <v>284</v>
      </c>
      <c r="C13" s="48" t="str">
        <f>'2 Income Statement'!B13</f>
        <v>Container Crop 9</v>
      </c>
      <c r="D13" s="145">
        <v>12</v>
      </c>
      <c r="E13" s="145" t="s">
        <v>156</v>
      </c>
      <c r="F13" s="147">
        <v>119</v>
      </c>
      <c r="G13" s="145">
        <v>50</v>
      </c>
      <c r="H13" s="145" t="s">
        <v>156</v>
      </c>
      <c r="I13" s="158">
        <v>5</v>
      </c>
      <c r="J13" s="93">
        <f t="shared" si="1"/>
        <v>28.56</v>
      </c>
      <c r="K13" s="100">
        <f>'1 Enterprises'!L$14</f>
        <v>6453.333333333333</v>
      </c>
      <c r="L13" s="95">
        <f t="shared" si="2"/>
        <v>0.02212809917355372</v>
      </c>
      <c r="N13" s="96" t="str">
        <f t="shared" si="0"/>
        <v>Container Crop 9</v>
      </c>
      <c r="O13" s="97">
        <f t="shared" si="3"/>
        <v>0.13950929752066116</v>
      </c>
    </row>
    <row r="14" spans="2:15" ht="12.75">
      <c r="B14" s="31" t="s">
        <v>285</v>
      </c>
      <c r="C14" s="48" t="str">
        <f>'2 Income Statement'!B14</f>
        <v>Field Crop 1</v>
      </c>
      <c r="D14" s="145">
        <v>12</v>
      </c>
      <c r="E14" s="145" t="s">
        <v>156</v>
      </c>
      <c r="F14" s="147">
        <v>119</v>
      </c>
      <c r="G14" s="145">
        <v>50</v>
      </c>
      <c r="H14" s="145" t="s">
        <v>156</v>
      </c>
      <c r="I14" s="158">
        <v>4</v>
      </c>
      <c r="J14" s="93">
        <f t="shared" si="1"/>
        <v>28.56</v>
      </c>
      <c r="K14" s="100">
        <f>'1 Enterprises'!M$14</f>
        <v>338.79999999999995</v>
      </c>
      <c r="L14" s="95">
        <f t="shared" si="2"/>
        <v>0.33719008264462813</v>
      </c>
      <c r="N14" s="96" t="str">
        <f t="shared" si="0"/>
        <v>Field Crop 1</v>
      </c>
      <c r="O14" s="97">
        <f t="shared" si="3"/>
        <v>2.5730224321133415</v>
      </c>
    </row>
    <row r="15" spans="2:15" ht="12.75">
      <c r="B15" s="31" t="s">
        <v>286</v>
      </c>
      <c r="C15" s="48" t="str">
        <f>'2 Income Statement'!B15</f>
        <v>Field Crop 2</v>
      </c>
      <c r="D15" s="145">
        <v>12</v>
      </c>
      <c r="E15" s="145" t="s">
        <v>156</v>
      </c>
      <c r="F15" s="147">
        <v>119</v>
      </c>
      <c r="G15" s="145">
        <v>50</v>
      </c>
      <c r="H15" s="145" t="s">
        <v>156</v>
      </c>
      <c r="I15" s="158">
        <v>4</v>
      </c>
      <c r="J15" s="93">
        <f t="shared" si="1"/>
        <v>28.56</v>
      </c>
      <c r="K15" s="100">
        <f>'1 Enterprises'!N$14</f>
        <v>338.79999999999995</v>
      </c>
      <c r="L15" s="95">
        <f t="shared" si="2"/>
        <v>0.33719008264462813</v>
      </c>
      <c r="N15" s="96" t="str">
        <f t="shared" si="0"/>
        <v>Field Crop 2</v>
      </c>
      <c r="O15" s="97">
        <f t="shared" si="3"/>
        <v>2.5730224321133415</v>
      </c>
    </row>
    <row r="16" spans="2:15" ht="12.75">
      <c r="B16" s="31" t="s">
        <v>287</v>
      </c>
      <c r="C16" s="48" t="str">
        <f>'2 Income Statement'!B16</f>
        <v>Field Crop 3</v>
      </c>
      <c r="D16" s="145">
        <v>12</v>
      </c>
      <c r="E16" s="145" t="s">
        <v>156</v>
      </c>
      <c r="F16" s="147">
        <v>119</v>
      </c>
      <c r="G16" s="145">
        <v>50</v>
      </c>
      <c r="H16" s="145" t="s">
        <v>156</v>
      </c>
      <c r="I16" s="158">
        <v>4</v>
      </c>
      <c r="J16" s="93">
        <f t="shared" si="1"/>
        <v>28.56</v>
      </c>
      <c r="K16" s="100">
        <f>'1 Enterprises'!O$14</f>
        <v>338.79999999999995</v>
      </c>
      <c r="L16" s="95">
        <f t="shared" si="2"/>
        <v>0.33719008264462813</v>
      </c>
      <c r="N16" s="96" t="str">
        <f t="shared" si="0"/>
        <v>Field Crop 3</v>
      </c>
      <c r="O16" s="97">
        <f t="shared" si="3"/>
        <v>2.5730224321133415</v>
      </c>
    </row>
    <row r="17" spans="2:15" ht="12.75">
      <c r="B17" s="31" t="s">
        <v>288</v>
      </c>
      <c r="C17" s="48" t="str">
        <f>'2 Income Statement'!B17</f>
        <v>Container Crop 10</v>
      </c>
      <c r="D17" s="145">
        <v>12</v>
      </c>
      <c r="E17" s="145" t="s">
        <v>156</v>
      </c>
      <c r="F17" s="147">
        <v>119</v>
      </c>
      <c r="G17" s="145">
        <v>50</v>
      </c>
      <c r="H17" s="145" t="s">
        <v>156</v>
      </c>
      <c r="I17" s="158">
        <v>0</v>
      </c>
      <c r="J17" s="93">
        <f>IF(G17&gt;0,(D17*(F17/G17)),0)</f>
        <v>28.56</v>
      </c>
      <c r="K17" s="100">
        <f>'1 Enterprises'!P$14</f>
        <v>32670</v>
      </c>
      <c r="L17" s="95">
        <f>IF(K17&gt;0,((J17/K17)*I17),0)</f>
        <v>0</v>
      </c>
      <c r="N17" s="96" t="str">
        <f t="shared" si="0"/>
        <v>Container Crop 10</v>
      </c>
      <c r="O17" s="97">
        <f t="shared" si="3"/>
        <v>0</v>
      </c>
    </row>
    <row r="18" spans="2:15" ht="13.5" thickBot="1">
      <c r="B18" s="31" t="s">
        <v>289</v>
      </c>
      <c r="C18" s="48" t="str">
        <f>'2 Income Statement'!B18</f>
        <v>Container Crop 11</v>
      </c>
      <c r="D18" s="145">
        <v>12</v>
      </c>
      <c r="E18" s="145" t="s">
        <v>156</v>
      </c>
      <c r="F18" s="147">
        <v>119</v>
      </c>
      <c r="G18" s="145">
        <v>50</v>
      </c>
      <c r="H18" s="145" t="s">
        <v>156</v>
      </c>
      <c r="I18" s="158">
        <v>0</v>
      </c>
      <c r="J18" s="93">
        <f t="shared" si="1"/>
        <v>28.56</v>
      </c>
      <c r="K18" s="100">
        <f>'1 Enterprises'!Q$14</f>
        <v>14520</v>
      </c>
      <c r="L18" s="95">
        <f t="shared" si="2"/>
        <v>0</v>
      </c>
      <c r="N18" s="101" t="str">
        <f t="shared" si="0"/>
        <v>Container Crop 11</v>
      </c>
      <c r="O18" s="97">
        <f t="shared" si="3"/>
        <v>0</v>
      </c>
    </row>
    <row r="19" spans="2:15" ht="13.5" thickBot="1">
      <c r="B19" s="31" t="s">
        <v>290</v>
      </c>
      <c r="C19" s="48" t="str">
        <f>'2 Income Statement'!B19</f>
        <v>Container Crop 12</v>
      </c>
      <c r="D19" s="145">
        <v>12</v>
      </c>
      <c r="E19" s="145" t="s">
        <v>156</v>
      </c>
      <c r="F19" s="147">
        <v>119</v>
      </c>
      <c r="G19" s="145">
        <v>50</v>
      </c>
      <c r="H19" s="145" t="s">
        <v>156</v>
      </c>
      <c r="I19" s="158">
        <v>0</v>
      </c>
      <c r="J19" s="93">
        <f aca="true" t="shared" si="4" ref="J19:J28">IF(G19&gt;0,(D19*(F19/G19)),0)</f>
        <v>28.56</v>
      </c>
      <c r="K19" s="100">
        <f>'1 Enterprises'!R$14</f>
        <v>6453.333333333333</v>
      </c>
      <c r="L19" s="95">
        <f aca="true" t="shared" si="5" ref="L19:L28">IF(K19&gt;0,((J19/K19)*I19),0)</f>
        <v>0</v>
      </c>
      <c r="N19" s="101" t="str">
        <f aca="true" t="shared" si="6" ref="N19:N28">C19</f>
        <v>Container Crop 12</v>
      </c>
      <c r="O19" s="97">
        <f t="shared" si="3"/>
        <v>0</v>
      </c>
    </row>
    <row r="20" spans="2:15" ht="13.5" thickBot="1">
      <c r="B20" s="31" t="s">
        <v>291</v>
      </c>
      <c r="C20" s="48" t="str">
        <f>'2 Income Statement'!B20</f>
        <v>Container Crop 13</v>
      </c>
      <c r="D20" s="145">
        <v>12</v>
      </c>
      <c r="E20" s="145" t="s">
        <v>156</v>
      </c>
      <c r="F20" s="147">
        <v>119</v>
      </c>
      <c r="G20" s="145">
        <v>50</v>
      </c>
      <c r="H20" s="145" t="s">
        <v>156</v>
      </c>
      <c r="I20" s="158">
        <v>0</v>
      </c>
      <c r="J20" s="93">
        <f t="shared" si="4"/>
        <v>28.56</v>
      </c>
      <c r="K20" s="100">
        <f>'1 Enterprises'!S$14</f>
        <v>32670</v>
      </c>
      <c r="L20" s="95">
        <f t="shared" si="5"/>
        <v>0</v>
      </c>
      <c r="N20" s="101" t="str">
        <f t="shared" si="6"/>
        <v>Container Crop 13</v>
      </c>
      <c r="O20" s="97">
        <f t="shared" si="3"/>
        <v>0</v>
      </c>
    </row>
    <row r="21" spans="2:15" ht="13.5" thickBot="1">
      <c r="B21" s="31" t="s">
        <v>292</v>
      </c>
      <c r="C21" s="48" t="str">
        <f>'2 Income Statement'!B21</f>
        <v>Container Crop 14</v>
      </c>
      <c r="D21" s="145">
        <v>12</v>
      </c>
      <c r="E21" s="145" t="s">
        <v>156</v>
      </c>
      <c r="F21" s="147">
        <v>119</v>
      </c>
      <c r="G21" s="145">
        <v>50</v>
      </c>
      <c r="H21" s="145" t="s">
        <v>156</v>
      </c>
      <c r="I21" s="158">
        <v>0</v>
      </c>
      <c r="J21" s="93">
        <f t="shared" si="4"/>
        <v>28.56</v>
      </c>
      <c r="K21" s="100">
        <f>'1 Enterprises'!T$14</f>
        <v>14520</v>
      </c>
      <c r="L21" s="95">
        <f t="shared" si="5"/>
        <v>0</v>
      </c>
      <c r="N21" s="101" t="str">
        <f t="shared" si="6"/>
        <v>Container Crop 14</v>
      </c>
      <c r="O21" s="97">
        <f t="shared" si="3"/>
        <v>0</v>
      </c>
    </row>
    <row r="22" spans="2:15" ht="13.5" thickBot="1">
      <c r="B22" s="31" t="s">
        <v>293</v>
      </c>
      <c r="C22" s="48" t="str">
        <f>'2 Income Statement'!B22</f>
        <v>Container Crop 15</v>
      </c>
      <c r="D22" s="145">
        <v>12</v>
      </c>
      <c r="E22" s="145" t="s">
        <v>156</v>
      </c>
      <c r="F22" s="147">
        <v>119</v>
      </c>
      <c r="G22" s="145">
        <v>50</v>
      </c>
      <c r="H22" s="145" t="s">
        <v>156</v>
      </c>
      <c r="I22" s="158">
        <v>0</v>
      </c>
      <c r="J22" s="93">
        <f t="shared" si="4"/>
        <v>28.56</v>
      </c>
      <c r="K22" s="100">
        <f>'1 Enterprises'!U$14</f>
        <v>6453.333333333333</v>
      </c>
      <c r="L22" s="95">
        <f t="shared" si="5"/>
        <v>0</v>
      </c>
      <c r="N22" s="101" t="str">
        <f t="shared" si="6"/>
        <v>Container Crop 15</v>
      </c>
      <c r="O22" s="97">
        <f t="shared" si="3"/>
        <v>0</v>
      </c>
    </row>
    <row r="23" spans="2:15" ht="13.5" thickBot="1">
      <c r="B23" s="31" t="s">
        <v>294</v>
      </c>
      <c r="C23" s="48" t="str">
        <f>'2 Income Statement'!B23</f>
        <v>Container Crop 16</v>
      </c>
      <c r="D23" s="145">
        <v>12</v>
      </c>
      <c r="E23" s="145" t="s">
        <v>156</v>
      </c>
      <c r="F23" s="147">
        <v>119</v>
      </c>
      <c r="G23" s="145">
        <v>50</v>
      </c>
      <c r="H23" s="145" t="s">
        <v>156</v>
      </c>
      <c r="I23" s="158">
        <v>0</v>
      </c>
      <c r="J23" s="93">
        <f t="shared" si="4"/>
        <v>28.56</v>
      </c>
      <c r="K23" s="100">
        <f>'1 Enterprises'!V$14</f>
        <v>32670</v>
      </c>
      <c r="L23" s="95">
        <f t="shared" si="5"/>
        <v>0</v>
      </c>
      <c r="N23" s="101" t="str">
        <f t="shared" si="6"/>
        <v>Container Crop 16</v>
      </c>
      <c r="O23" s="97">
        <f t="shared" si="3"/>
        <v>0</v>
      </c>
    </row>
    <row r="24" spans="2:15" ht="13.5" thickBot="1">
      <c r="B24" s="31" t="s">
        <v>295</v>
      </c>
      <c r="C24" s="48" t="str">
        <f>'2 Income Statement'!B24</f>
        <v>Container Crop 17</v>
      </c>
      <c r="D24" s="145">
        <v>12</v>
      </c>
      <c r="E24" s="145" t="s">
        <v>156</v>
      </c>
      <c r="F24" s="147">
        <v>119</v>
      </c>
      <c r="G24" s="145">
        <v>50</v>
      </c>
      <c r="H24" s="145" t="s">
        <v>156</v>
      </c>
      <c r="I24" s="158">
        <v>0</v>
      </c>
      <c r="J24" s="93">
        <f t="shared" si="4"/>
        <v>28.56</v>
      </c>
      <c r="K24" s="100">
        <f>'1 Enterprises'!W$14</f>
        <v>14520</v>
      </c>
      <c r="L24" s="95">
        <f t="shared" si="5"/>
        <v>0</v>
      </c>
      <c r="N24" s="101" t="str">
        <f t="shared" si="6"/>
        <v>Container Crop 17</v>
      </c>
      <c r="O24" s="97">
        <f t="shared" si="3"/>
        <v>0</v>
      </c>
    </row>
    <row r="25" spans="2:15" ht="13.5" thickBot="1">
      <c r="B25" s="31" t="s">
        <v>296</v>
      </c>
      <c r="C25" s="48" t="str">
        <f>'2 Income Statement'!B25</f>
        <v>Container Crop 18</v>
      </c>
      <c r="D25" s="145">
        <v>12</v>
      </c>
      <c r="E25" s="145" t="s">
        <v>156</v>
      </c>
      <c r="F25" s="147">
        <v>119</v>
      </c>
      <c r="G25" s="145">
        <v>50</v>
      </c>
      <c r="H25" s="145" t="s">
        <v>156</v>
      </c>
      <c r="I25" s="158">
        <v>0</v>
      </c>
      <c r="J25" s="93">
        <f t="shared" si="4"/>
        <v>28.56</v>
      </c>
      <c r="K25" s="100">
        <f>'1 Enterprises'!X$14</f>
        <v>6453.333333333333</v>
      </c>
      <c r="L25" s="95">
        <f t="shared" si="5"/>
        <v>0</v>
      </c>
      <c r="N25" s="101" t="str">
        <f t="shared" si="6"/>
        <v>Container Crop 18</v>
      </c>
      <c r="O25" s="97">
        <f t="shared" si="3"/>
        <v>0</v>
      </c>
    </row>
    <row r="26" spans="2:15" ht="13.5" thickBot="1">
      <c r="B26" s="31" t="s">
        <v>297</v>
      </c>
      <c r="C26" s="48" t="str">
        <f>'2 Income Statement'!B26</f>
        <v>Field Crop 4</v>
      </c>
      <c r="D26" s="145">
        <v>12</v>
      </c>
      <c r="E26" s="145" t="s">
        <v>156</v>
      </c>
      <c r="F26" s="147">
        <v>119</v>
      </c>
      <c r="G26" s="145">
        <v>50</v>
      </c>
      <c r="H26" s="145" t="s">
        <v>156</v>
      </c>
      <c r="I26" s="158">
        <v>0</v>
      </c>
      <c r="J26" s="93">
        <f t="shared" si="4"/>
        <v>28.56</v>
      </c>
      <c r="K26" s="100">
        <f>'1 Enterprises'!Y$14</f>
        <v>338.79999999999995</v>
      </c>
      <c r="L26" s="95">
        <f t="shared" si="5"/>
        <v>0</v>
      </c>
      <c r="N26" s="101" t="str">
        <f t="shared" si="6"/>
        <v>Field Crop 4</v>
      </c>
      <c r="O26" s="97">
        <f t="shared" si="3"/>
        <v>0</v>
      </c>
    </row>
    <row r="27" spans="2:15" ht="13.5" thickBot="1">
      <c r="B27" s="31" t="s">
        <v>298</v>
      </c>
      <c r="C27" s="48" t="str">
        <f>'2 Income Statement'!B27</f>
        <v>Field Crop 5</v>
      </c>
      <c r="D27" s="145">
        <v>12</v>
      </c>
      <c r="E27" s="145" t="s">
        <v>156</v>
      </c>
      <c r="F27" s="147">
        <v>119</v>
      </c>
      <c r="G27" s="145">
        <v>50</v>
      </c>
      <c r="H27" s="145" t="s">
        <v>156</v>
      </c>
      <c r="I27" s="158">
        <v>0</v>
      </c>
      <c r="J27" s="93">
        <f t="shared" si="4"/>
        <v>28.56</v>
      </c>
      <c r="K27" s="100">
        <f>'1 Enterprises'!Z$14</f>
        <v>338.79999999999995</v>
      </c>
      <c r="L27" s="95">
        <f t="shared" si="5"/>
        <v>0</v>
      </c>
      <c r="N27" s="101" t="str">
        <f t="shared" si="6"/>
        <v>Field Crop 5</v>
      </c>
      <c r="O27" s="97">
        <f t="shared" si="3"/>
        <v>0</v>
      </c>
    </row>
    <row r="28" spans="2:15" ht="13.5" thickBot="1">
      <c r="B28" s="31" t="s">
        <v>299</v>
      </c>
      <c r="C28" s="48" t="str">
        <f>'2 Income Statement'!B28</f>
        <v>Field Crop 6</v>
      </c>
      <c r="D28" s="145">
        <v>12</v>
      </c>
      <c r="E28" s="145" t="s">
        <v>156</v>
      </c>
      <c r="F28" s="147">
        <v>119</v>
      </c>
      <c r="G28" s="145">
        <v>50</v>
      </c>
      <c r="H28" s="145" t="s">
        <v>156</v>
      </c>
      <c r="I28" s="158">
        <v>0</v>
      </c>
      <c r="J28" s="93">
        <f t="shared" si="4"/>
        <v>28.56</v>
      </c>
      <c r="K28" s="100">
        <f>'1 Enterprises'!AA$14</f>
        <v>338.79999999999995</v>
      </c>
      <c r="L28" s="95">
        <f t="shared" si="5"/>
        <v>0</v>
      </c>
      <c r="N28" s="101" t="str">
        <f t="shared" si="6"/>
        <v>Field Crop 6</v>
      </c>
      <c r="O28" s="97">
        <f t="shared" si="3"/>
        <v>0</v>
      </c>
    </row>
    <row r="29" spans="2:15" ht="13.5" thickBot="1">
      <c r="B29" s="31" t="s">
        <v>300</v>
      </c>
      <c r="C29" s="48" t="str">
        <f>'2 Income Statement'!B29</f>
        <v>Field Crop 7</v>
      </c>
      <c r="D29" s="145">
        <v>12</v>
      </c>
      <c r="E29" s="145" t="s">
        <v>156</v>
      </c>
      <c r="F29" s="147">
        <v>119</v>
      </c>
      <c r="G29" s="145">
        <v>50</v>
      </c>
      <c r="H29" s="145" t="s">
        <v>156</v>
      </c>
      <c r="I29" s="158">
        <v>0</v>
      </c>
      <c r="J29" s="93">
        <f>IF(G29&gt;0,(D29*(F29/G29)),0)</f>
        <v>28.56</v>
      </c>
      <c r="K29" s="100">
        <f>'1 Enterprises'!AB$14</f>
        <v>338.79999999999995</v>
      </c>
      <c r="L29" s="95">
        <f>IF(K29&gt;0,((J29/K29)*I29),0)</f>
        <v>0</v>
      </c>
      <c r="N29" s="101" t="str">
        <f>C29</f>
        <v>Field Crop 7</v>
      </c>
      <c r="O29" s="97">
        <f t="shared" si="3"/>
        <v>0</v>
      </c>
    </row>
    <row r="30" spans="3:15" ht="12">
      <c r="C30" s="31"/>
      <c r="N30" s="148"/>
      <c r="O30" s="149"/>
    </row>
    <row r="31" spans="3:12" ht="12.75">
      <c r="C31" s="275" t="s">
        <v>154</v>
      </c>
      <c r="D31" s="276"/>
      <c r="E31" s="276"/>
      <c r="F31" s="276"/>
      <c r="G31" s="276"/>
      <c r="H31" s="276"/>
      <c r="I31" s="276"/>
      <c r="J31" s="276"/>
      <c r="K31" s="276"/>
      <c r="L31" s="277"/>
    </row>
    <row r="32" spans="2:12" ht="26.25" customHeight="1">
      <c r="B32" s="31" t="s">
        <v>276</v>
      </c>
      <c r="C32" s="92" t="str">
        <f>'2 Income Statement'!B5</f>
        <v>Container Crop 1</v>
      </c>
      <c r="D32" s="145">
        <v>6</v>
      </c>
      <c r="E32" s="145" t="s">
        <v>160</v>
      </c>
      <c r="F32" s="147">
        <v>285</v>
      </c>
      <c r="G32" s="145">
        <v>16</v>
      </c>
      <c r="H32" s="145" t="s">
        <v>160</v>
      </c>
      <c r="I32" s="158">
        <v>2</v>
      </c>
      <c r="J32" s="93">
        <f>IF(G32&gt;0,(D32*(F32/G32)),0)</f>
        <v>106.875</v>
      </c>
      <c r="K32" s="94">
        <f>'1 Enterprises'!D$14</f>
        <v>32670</v>
      </c>
      <c r="L32" s="95">
        <f>IF(K32&gt;0,((J32/K32)*I32),0)</f>
        <v>0.0065426997245179065</v>
      </c>
    </row>
    <row r="33" spans="2:12" ht="12.75">
      <c r="B33" s="31" t="s">
        <v>277</v>
      </c>
      <c r="C33" s="92" t="str">
        <f>'2 Income Statement'!B6</f>
        <v>Container Crop 2</v>
      </c>
      <c r="D33" s="145">
        <v>6</v>
      </c>
      <c r="E33" s="145" t="s">
        <v>160</v>
      </c>
      <c r="F33" s="147">
        <v>285</v>
      </c>
      <c r="G33" s="145">
        <v>16</v>
      </c>
      <c r="H33" s="145" t="s">
        <v>160</v>
      </c>
      <c r="I33" s="158">
        <v>3</v>
      </c>
      <c r="J33" s="93">
        <f aca="true" t="shared" si="7" ref="J33:J44">IF(G33&gt;0,(D33*(F33/G33)),0)</f>
        <v>106.875</v>
      </c>
      <c r="K33" s="99">
        <f>'1 Enterprises'!E$14</f>
        <v>14520</v>
      </c>
      <c r="L33" s="95">
        <f aca="true" t="shared" si="8" ref="L33:L44">IF(K33&gt;0,((J33/K33)*I33),0)</f>
        <v>0.022081611570247933</v>
      </c>
    </row>
    <row r="34" spans="2:12" ht="12.75">
      <c r="B34" s="31" t="s">
        <v>278</v>
      </c>
      <c r="C34" s="92" t="str">
        <f>'2 Income Statement'!B7</f>
        <v>Container Crop 3</v>
      </c>
      <c r="D34" s="145">
        <v>6</v>
      </c>
      <c r="E34" s="145" t="s">
        <v>160</v>
      </c>
      <c r="F34" s="147">
        <v>285</v>
      </c>
      <c r="G34" s="145">
        <v>16</v>
      </c>
      <c r="H34" s="145" t="s">
        <v>160</v>
      </c>
      <c r="I34" s="158">
        <v>5</v>
      </c>
      <c r="J34" s="93">
        <f t="shared" si="7"/>
        <v>106.875</v>
      </c>
      <c r="K34" s="99">
        <f>'1 Enterprises'!F$14</f>
        <v>6453.333333333333</v>
      </c>
      <c r="L34" s="95">
        <f t="shared" si="8"/>
        <v>0.08280604338842976</v>
      </c>
    </row>
    <row r="35" spans="2:12" ht="12.75">
      <c r="B35" s="31" t="s">
        <v>279</v>
      </c>
      <c r="C35" s="92" t="str">
        <f>'2 Income Statement'!B8</f>
        <v>Container Crop 4</v>
      </c>
      <c r="D35" s="145">
        <v>6</v>
      </c>
      <c r="E35" s="145" t="s">
        <v>160</v>
      </c>
      <c r="F35" s="147">
        <v>285</v>
      </c>
      <c r="G35" s="145">
        <v>16</v>
      </c>
      <c r="H35" s="145" t="s">
        <v>160</v>
      </c>
      <c r="I35" s="158">
        <v>2</v>
      </c>
      <c r="J35" s="93">
        <f t="shared" si="7"/>
        <v>106.875</v>
      </c>
      <c r="K35" s="99">
        <f>'1 Enterprises'!G$14</f>
        <v>32670</v>
      </c>
      <c r="L35" s="95">
        <f t="shared" si="8"/>
        <v>0.0065426997245179065</v>
      </c>
    </row>
    <row r="36" spans="2:12" ht="12.75">
      <c r="B36" s="31" t="s">
        <v>280</v>
      </c>
      <c r="C36" s="92" t="str">
        <f>'2 Income Statement'!B9</f>
        <v>Container Crop 5</v>
      </c>
      <c r="D36" s="145">
        <v>6</v>
      </c>
      <c r="E36" s="145" t="s">
        <v>160</v>
      </c>
      <c r="F36" s="147">
        <v>285</v>
      </c>
      <c r="G36" s="145">
        <v>16</v>
      </c>
      <c r="H36" s="145" t="s">
        <v>160</v>
      </c>
      <c r="I36" s="158">
        <v>3</v>
      </c>
      <c r="J36" s="93">
        <f t="shared" si="7"/>
        <v>106.875</v>
      </c>
      <c r="K36" s="99">
        <f>'1 Enterprises'!H$14</f>
        <v>14520</v>
      </c>
      <c r="L36" s="95">
        <f t="shared" si="8"/>
        <v>0.022081611570247933</v>
      </c>
    </row>
    <row r="37" spans="2:12" ht="12.75">
      <c r="B37" s="31" t="s">
        <v>281</v>
      </c>
      <c r="C37" s="92" t="str">
        <f>'2 Income Statement'!B10</f>
        <v>Container Crop 6</v>
      </c>
      <c r="D37" s="145">
        <v>6</v>
      </c>
      <c r="E37" s="145" t="s">
        <v>160</v>
      </c>
      <c r="F37" s="147">
        <v>285</v>
      </c>
      <c r="G37" s="145">
        <v>16</v>
      </c>
      <c r="H37" s="145" t="s">
        <v>160</v>
      </c>
      <c r="I37" s="158">
        <v>5</v>
      </c>
      <c r="J37" s="93">
        <f t="shared" si="7"/>
        <v>106.875</v>
      </c>
      <c r="K37" s="99">
        <f>'1 Enterprises'!I$14</f>
        <v>6453.333333333333</v>
      </c>
      <c r="L37" s="95">
        <f t="shared" si="8"/>
        <v>0.08280604338842976</v>
      </c>
    </row>
    <row r="38" spans="2:12" ht="12.75">
      <c r="B38" s="31" t="s">
        <v>282</v>
      </c>
      <c r="C38" s="92" t="str">
        <f>'2 Income Statement'!B11</f>
        <v>Container Crop 7</v>
      </c>
      <c r="D38" s="145">
        <v>6</v>
      </c>
      <c r="E38" s="145" t="s">
        <v>160</v>
      </c>
      <c r="F38" s="147">
        <v>285</v>
      </c>
      <c r="G38" s="145">
        <v>16</v>
      </c>
      <c r="H38" s="145" t="s">
        <v>160</v>
      </c>
      <c r="I38" s="158">
        <v>2</v>
      </c>
      <c r="J38" s="93">
        <f t="shared" si="7"/>
        <v>106.875</v>
      </c>
      <c r="K38" s="99">
        <f>'1 Enterprises'!J$14</f>
        <v>32670</v>
      </c>
      <c r="L38" s="95">
        <f t="shared" si="8"/>
        <v>0.0065426997245179065</v>
      </c>
    </row>
    <row r="39" spans="2:12" ht="12.75">
      <c r="B39" s="31" t="s">
        <v>283</v>
      </c>
      <c r="C39" s="92" t="str">
        <f>'2 Income Statement'!B12</f>
        <v>Container Crop 8</v>
      </c>
      <c r="D39" s="145">
        <v>6</v>
      </c>
      <c r="E39" s="145" t="s">
        <v>160</v>
      </c>
      <c r="F39" s="147">
        <v>285</v>
      </c>
      <c r="G39" s="145">
        <v>16</v>
      </c>
      <c r="H39" s="145" t="s">
        <v>160</v>
      </c>
      <c r="I39" s="158">
        <v>3</v>
      </c>
      <c r="J39" s="93">
        <f t="shared" si="7"/>
        <v>106.875</v>
      </c>
      <c r="K39" s="100">
        <f>'1 Enterprises'!K$14</f>
        <v>14520</v>
      </c>
      <c r="L39" s="95">
        <f t="shared" si="8"/>
        <v>0.022081611570247933</v>
      </c>
    </row>
    <row r="40" spans="2:12" ht="12.75">
      <c r="B40" s="31" t="s">
        <v>284</v>
      </c>
      <c r="C40" s="92" t="str">
        <f>'2 Income Statement'!B13</f>
        <v>Container Crop 9</v>
      </c>
      <c r="D40" s="145">
        <v>6</v>
      </c>
      <c r="E40" s="145" t="s">
        <v>160</v>
      </c>
      <c r="F40" s="147">
        <v>285</v>
      </c>
      <c r="G40" s="145">
        <v>16</v>
      </c>
      <c r="H40" s="145" t="s">
        <v>160</v>
      </c>
      <c r="I40" s="158">
        <v>5</v>
      </c>
      <c r="J40" s="93">
        <f t="shared" si="7"/>
        <v>106.875</v>
      </c>
      <c r="K40" s="100">
        <f>'1 Enterprises'!L$14</f>
        <v>6453.333333333333</v>
      </c>
      <c r="L40" s="95">
        <f t="shared" si="8"/>
        <v>0.08280604338842976</v>
      </c>
    </row>
    <row r="41" spans="2:12" ht="12.75">
      <c r="B41" s="31" t="s">
        <v>285</v>
      </c>
      <c r="C41" s="92" t="str">
        <f>'2 Income Statement'!B14</f>
        <v>Field Crop 1</v>
      </c>
      <c r="D41" s="145">
        <v>6</v>
      </c>
      <c r="E41" s="145" t="s">
        <v>160</v>
      </c>
      <c r="F41" s="147">
        <v>285</v>
      </c>
      <c r="G41" s="145">
        <v>16</v>
      </c>
      <c r="H41" s="145" t="s">
        <v>160</v>
      </c>
      <c r="I41" s="158">
        <v>5</v>
      </c>
      <c r="J41" s="93">
        <f t="shared" si="7"/>
        <v>106.875</v>
      </c>
      <c r="K41" s="100">
        <f>'1 Enterprises'!M$14</f>
        <v>338.79999999999995</v>
      </c>
      <c r="L41" s="95">
        <f t="shared" si="8"/>
        <v>1.577257969303424</v>
      </c>
    </row>
    <row r="42" spans="2:12" ht="12.75">
      <c r="B42" s="31" t="s">
        <v>286</v>
      </c>
      <c r="C42" s="92" t="str">
        <f>'2 Income Statement'!B15</f>
        <v>Field Crop 2</v>
      </c>
      <c r="D42" s="145">
        <v>6</v>
      </c>
      <c r="E42" s="145" t="s">
        <v>160</v>
      </c>
      <c r="F42" s="147">
        <v>285</v>
      </c>
      <c r="G42" s="145">
        <v>16</v>
      </c>
      <c r="H42" s="145" t="s">
        <v>160</v>
      </c>
      <c r="I42" s="158">
        <v>5</v>
      </c>
      <c r="J42" s="93">
        <f t="shared" si="7"/>
        <v>106.875</v>
      </c>
      <c r="K42" s="100">
        <f>'1 Enterprises'!N$14</f>
        <v>338.79999999999995</v>
      </c>
      <c r="L42" s="95">
        <f t="shared" si="8"/>
        <v>1.577257969303424</v>
      </c>
    </row>
    <row r="43" spans="2:12" ht="12.75">
      <c r="B43" s="31" t="s">
        <v>287</v>
      </c>
      <c r="C43" s="92" t="str">
        <f>'2 Income Statement'!B16</f>
        <v>Field Crop 3</v>
      </c>
      <c r="D43" s="145">
        <v>6</v>
      </c>
      <c r="E43" s="145" t="s">
        <v>160</v>
      </c>
      <c r="F43" s="147">
        <v>285</v>
      </c>
      <c r="G43" s="145">
        <v>16</v>
      </c>
      <c r="H43" s="145" t="s">
        <v>160</v>
      </c>
      <c r="I43" s="158">
        <v>5</v>
      </c>
      <c r="J43" s="93">
        <f t="shared" si="7"/>
        <v>106.875</v>
      </c>
      <c r="K43" s="100">
        <f>'1 Enterprises'!O$14</f>
        <v>338.79999999999995</v>
      </c>
      <c r="L43" s="95">
        <f t="shared" si="8"/>
        <v>1.577257969303424</v>
      </c>
    </row>
    <row r="44" spans="2:12" ht="12.75">
      <c r="B44" s="31" t="s">
        <v>288</v>
      </c>
      <c r="C44" s="92" t="str">
        <f>'2 Income Statement'!B17</f>
        <v>Container Crop 10</v>
      </c>
      <c r="D44" s="145">
        <v>6</v>
      </c>
      <c r="E44" s="145" t="s">
        <v>160</v>
      </c>
      <c r="F44" s="147">
        <v>285</v>
      </c>
      <c r="G44" s="145">
        <v>16</v>
      </c>
      <c r="H44" s="145" t="s">
        <v>160</v>
      </c>
      <c r="I44" s="158">
        <v>0</v>
      </c>
      <c r="J44" s="93">
        <f t="shared" si="7"/>
        <v>106.875</v>
      </c>
      <c r="K44" s="100">
        <f>'1 Enterprises'!P$14</f>
        <v>32670</v>
      </c>
      <c r="L44" s="95">
        <f t="shared" si="8"/>
        <v>0</v>
      </c>
    </row>
    <row r="45" spans="2:12" ht="12.75">
      <c r="B45" s="31" t="s">
        <v>289</v>
      </c>
      <c r="C45" s="92" t="str">
        <f>'2 Income Statement'!B18</f>
        <v>Container Crop 11</v>
      </c>
      <c r="D45" s="145">
        <v>6</v>
      </c>
      <c r="E45" s="145" t="s">
        <v>160</v>
      </c>
      <c r="F45" s="147">
        <v>285</v>
      </c>
      <c r="G45" s="145">
        <v>16</v>
      </c>
      <c r="H45" s="145" t="s">
        <v>160</v>
      </c>
      <c r="I45" s="158">
        <v>0</v>
      </c>
      <c r="J45" s="93">
        <f>IF(G45&gt;0,(D45*(F45/G45)),0)</f>
        <v>106.875</v>
      </c>
      <c r="K45" s="100">
        <f>'1 Enterprises'!Q$14</f>
        <v>14520</v>
      </c>
      <c r="L45" s="95">
        <f>IF(K45&gt;0,((J45/K45)*I45),0)</f>
        <v>0</v>
      </c>
    </row>
    <row r="46" spans="2:12" ht="12.75">
      <c r="B46" s="31" t="s">
        <v>290</v>
      </c>
      <c r="C46" s="92" t="str">
        <f>'2 Income Statement'!B19</f>
        <v>Container Crop 12</v>
      </c>
      <c r="D46" s="145">
        <v>6</v>
      </c>
      <c r="E46" s="145" t="s">
        <v>160</v>
      </c>
      <c r="F46" s="147">
        <v>285</v>
      </c>
      <c r="G46" s="145">
        <v>16</v>
      </c>
      <c r="H46" s="145" t="s">
        <v>160</v>
      </c>
      <c r="I46" s="158">
        <v>0</v>
      </c>
      <c r="J46" s="93">
        <f aca="true" t="shared" si="9" ref="J46:J56">IF(G46&gt;0,(D46*(F46/G46)),0)</f>
        <v>106.875</v>
      </c>
      <c r="K46" s="100">
        <f>'1 Enterprises'!R$14</f>
        <v>6453.333333333333</v>
      </c>
      <c r="L46" s="95">
        <f aca="true" t="shared" si="10" ref="L46:L56">IF(K46&gt;0,((J46/K46)*I46),0)</f>
        <v>0</v>
      </c>
    </row>
    <row r="47" spans="2:12" ht="12.75">
      <c r="B47" s="31" t="s">
        <v>291</v>
      </c>
      <c r="C47" s="92" t="str">
        <f>'2 Income Statement'!B20</f>
        <v>Container Crop 13</v>
      </c>
      <c r="D47" s="145">
        <v>6</v>
      </c>
      <c r="E47" s="145" t="s">
        <v>160</v>
      </c>
      <c r="F47" s="147">
        <v>285</v>
      </c>
      <c r="G47" s="145">
        <v>16</v>
      </c>
      <c r="H47" s="145" t="s">
        <v>160</v>
      </c>
      <c r="I47" s="158">
        <v>0</v>
      </c>
      <c r="J47" s="93">
        <f t="shared" si="9"/>
        <v>106.875</v>
      </c>
      <c r="K47" s="100">
        <f>'1 Enterprises'!S$14</f>
        <v>32670</v>
      </c>
      <c r="L47" s="95">
        <f t="shared" si="10"/>
        <v>0</v>
      </c>
    </row>
    <row r="48" spans="2:12" ht="12.75">
      <c r="B48" s="31" t="s">
        <v>292</v>
      </c>
      <c r="C48" s="92" t="str">
        <f>'2 Income Statement'!B21</f>
        <v>Container Crop 14</v>
      </c>
      <c r="D48" s="145">
        <v>6</v>
      </c>
      <c r="E48" s="145" t="s">
        <v>160</v>
      </c>
      <c r="F48" s="147">
        <v>285</v>
      </c>
      <c r="G48" s="145">
        <v>16</v>
      </c>
      <c r="H48" s="145" t="s">
        <v>160</v>
      </c>
      <c r="I48" s="158">
        <v>0</v>
      </c>
      <c r="J48" s="93">
        <f t="shared" si="9"/>
        <v>106.875</v>
      </c>
      <c r="K48" s="100">
        <f>'1 Enterprises'!T$14</f>
        <v>14520</v>
      </c>
      <c r="L48" s="95">
        <f t="shared" si="10"/>
        <v>0</v>
      </c>
    </row>
    <row r="49" spans="2:12" ht="12.75">
      <c r="B49" s="31" t="s">
        <v>293</v>
      </c>
      <c r="C49" s="92" t="str">
        <f>'2 Income Statement'!B22</f>
        <v>Container Crop 15</v>
      </c>
      <c r="D49" s="145">
        <v>6</v>
      </c>
      <c r="E49" s="145" t="s">
        <v>160</v>
      </c>
      <c r="F49" s="147">
        <v>285</v>
      </c>
      <c r="G49" s="145">
        <v>16</v>
      </c>
      <c r="H49" s="145" t="s">
        <v>160</v>
      </c>
      <c r="I49" s="158">
        <v>0</v>
      </c>
      <c r="J49" s="93">
        <f t="shared" si="9"/>
        <v>106.875</v>
      </c>
      <c r="K49" s="100">
        <f>'1 Enterprises'!U$14</f>
        <v>6453.333333333333</v>
      </c>
      <c r="L49" s="95">
        <f t="shared" si="10"/>
        <v>0</v>
      </c>
    </row>
    <row r="50" spans="2:12" ht="12.75">
      <c r="B50" s="31" t="s">
        <v>294</v>
      </c>
      <c r="C50" s="92" t="str">
        <f>'2 Income Statement'!B23</f>
        <v>Container Crop 16</v>
      </c>
      <c r="D50" s="145">
        <v>6</v>
      </c>
      <c r="E50" s="145" t="s">
        <v>160</v>
      </c>
      <c r="F50" s="147">
        <v>285</v>
      </c>
      <c r="G50" s="145">
        <v>16</v>
      </c>
      <c r="H50" s="145" t="s">
        <v>160</v>
      </c>
      <c r="I50" s="158">
        <v>0</v>
      </c>
      <c r="J50" s="93">
        <f t="shared" si="9"/>
        <v>106.875</v>
      </c>
      <c r="K50" s="100">
        <f>'1 Enterprises'!V$14</f>
        <v>32670</v>
      </c>
      <c r="L50" s="95">
        <f t="shared" si="10"/>
        <v>0</v>
      </c>
    </row>
    <row r="51" spans="2:12" ht="12.75">
      <c r="B51" s="31" t="s">
        <v>295</v>
      </c>
      <c r="C51" s="92" t="str">
        <f>'2 Income Statement'!B24</f>
        <v>Container Crop 17</v>
      </c>
      <c r="D51" s="145">
        <v>6</v>
      </c>
      <c r="E51" s="145" t="s">
        <v>160</v>
      </c>
      <c r="F51" s="147">
        <v>285</v>
      </c>
      <c r="G51" s="145">
        <v>16</v>
      </c>
      <c r="H51" s="145" t="s">
        <v>160</v>
      </c>
      <c r="I51" s="158">
        <v>0</v>
      </c>
      <c r="J51" s="93">
        <f t="shared" si="9"/>
        <v>106.875</v>
      </c>
      <c r="K51" s="100">
        <f>'1 Enterprises'!W$14</f>
        <v>14520</v>
      </c>
      <c r="L51" s="95">
        <f t="shared" si="10"/>
        <v>0</v>
      </c>
    </row>
    <row r="52" spans="2:12" ht="12.75">
      <c r="B52" s="31" t="s">
        <v>296</v>
      </c>
      <c r="C52" s="92" t="str">
        <f>'2 Income Statement'!B25</f>
        <v>Container Crop 18</v>
      </c>
      <c r="D52" s="145">
        <v>6</v>
      </c>
      <c r="E52" s="145" t="s">
        <v>160</v>
      </c>
      <c r="F52" s="147">
        <v>285</v>
      </c>
      <c r="G52" s="145">
        <v>16</v>
      </c>
      <c r="H52" s="145" t="s">
        <v>160</v>
      </c>
      <c r="I52" s="158">
        <v>0</v>
      </c>
      <c r="J52" s="93">
        <f t="shared" si="9"/>
        <v>106.875</v>
      </c>
      <c r="K52" s="100">
        <f>'1 Enterprises'!X$14</f>
        <v>6453.333333333333</v>
      </c>
      <c r="L52" s="95">
        <f t="shared" si="10"/>
        <v>0</v>
      </c>
    </row>
    <row r="53" spans="2:12" ht="12.75">
      <c r="B53" s="31" t="s">
        <v>297</v>
      </c>
      <c r="C53" s="92" t="str">
        <f>'2 Income Statement'!B26</f>
        <v>Field Crop 4</v>
      </c>
      <c r="D53" s="145">
        <v>6</v>
      </c>
      <c r="E53" s="145" t="s">
        <v>160</v>
      </c>
      <c r="F53" s="147">
        <v>285</v>
      </c>
      <c r="G53" s="145">
        <v>16</v>
      </c>
      <c r="H53" s="145" t="s">
        <v>160</v>
      </c>
      <c r="I53" s="158">
        <v>0</v>
      </c>
      <c r="J53" s="93">
        <f t="shared" si="9"/>
        <v>106.875</v>
      </c>
      <c r="K53" s="100">
        <f>'1 Enterprises'!Y$14</f>
        <v>338.79999999999995</v>
      </c>
      <c r="L53" s="95">
        <f t="shared" si="10"/>
        <v>0</v>
      </c>
    </row>
    <row r="54" spans="2:12" ht="12.75">
      <c r="B54" s="31" t="s">
        <v>298</v>
      </c>
      <c r="C54" s="92" t="str">
        <f>'2 Income Statement'!B27</f>
        <v>Field Crop 5</v>
      </c>
      <c r="D54" s="145">
        <v>6</v>
      </c>
      <c r="E54" s="145" t="s">
        <v>160</v>
      </c>
      <c r="F54" s="147">
        <v>285</v>
      </c>
      <c r="G54" s="145">
        <v>16</v>
      </c>
      <c r="H54" s="145" t="s">
        <v>160</v>
      </c>
      <c r="I54" s="158">
        <v>0</v>
      </c>
      <c r="J54" s="93">
        <f t="shared" si="9"/>
        <v>106.875</v>
      </c>
      <c r="K54" s="100">
        <f>'1 Enterprises'!Z$14</f>
        <v>338.79999999999995</v>
      </c>
      <c r="L54" s="95">
        <f t="shared" si="10"/>
        <v>0</v>
      </c>
    </row>
    <row r="55" spans="2:12" ht="12.75">
      <c r="B55" s="31" t="s">
        <v>299</v>
      </c>
      <c r="C55" s="92" t="str">
        <f>'2 Income Statement'!B28</f>
        <v>Field Crop 6</v>
      </c>
      <c r="D55" s="145">
        <v>6</v>
      </c>
      <c r="E55" s="145" t="s">
        <v>160</v>
      </c>
      <c r="F55" s="147">
        <v>285</v>
      </c>
      <c r="G55" s="145">
        <v>16</v>
      </c>
      <c r="H55" s="145" t="s">
        <v>160</v>
      </c>
      <c r="I55" s="158">
        <v>0</v>
      </c>
      <c r="J55" s="93">
        <f t="shared" si="9"/>
        <v>106.875</v>
      </c>
      <c r="K55" s="100">
        <f>'1 Enterprises'!AA$14</f>
        <v>338.79999999999995</v>
      </c>
      <c r="L55" s="95">
        <f t="shared" si="10"/>
        <v>0</v>
      </c>
    </row>
    <row r="56" spans="2:12" ht="12.75">
      <c r="B56" s="31" t="s">
        <v>300</v>
      </c>
      <c r="C56" s="92" t="str">
        <f>'2 Income Statement'!B29</f>
        <v>Field Crop 7</v>
      </c>
      <c r="D56" s="145">
        <v>6</v>
      </c>
      <c r="E56" s="145" t="s">
        <v>160</v>
      </c>
      <c r="F56" s="147">
        <v>285</v>
      </c>
      <c r="G56" s="145">
        <v>16</v>
      </c>
      <c r="H56" s="145" t="s">
        <v>160</v>
      </c>
      <c r="I56" s="158">
        <v>0</v>
      </c>
      <c r="J56" s="93">
        <f t="shared" si="9"/>
        <v>106.875</v>
      </c>
      <c r="K56" s="100">
        <f>'1 Enterprises'!AB$14</f>
        <v>338.79999999999995</v>
      </c>
      <c r="L56" s="95">
        <f t="shared" si="10"/>
        <v>0</v>
      </c>
    </row>
    <row r="57" ht="12">
      <c r="C57" s="31"/>
    </row>
    <row r="58" spans="3:12" ht="12.75">
      <c r="C58" s="275" t="s">
        <v>155</v>
      </c>
      <c r="D58" s="276"/>
      <c r="E58" s="276"/>
      <c r="F58" s="276"/>
      <c r="G58" s="276"/>
      <c r="H58" s="276"/>
      <c r="I58" s="276"/>
      <c r="J58" s="276"/>
      <c r="K58" s="276"/>
      <c r="L58" s="277"/>
    </row>
    <row r="59" spans="2:12" ht="12.75">
      <c r="B59" s="31" t="s">
        <v>276</v>
      </c>
      <c r="C59" s="92" t="str">
        <f>'2 Income Statement'!B5</f>
        <v>Container Crop 1</v>
      </c>
      <c r="D59" s="145">
        <v>40</v>
      </c>
      <c r="E59" s="145" t="s">
        <v>160</v>
      </c>
      <c r="F59" s="147">
        <v>238</v>
      </c>
      <c r="G59" s="145">
        <v>128</v>
      </c>
      <c r="H59" s="145" t="s">
        <v>160</v>
      </c>
      <c r="I59" s="158">
        <v>1</v>
      </c>
      <c r="J59" s="93">
        <f>IF(G59&gt;0,(D59*(F59/G59)),0)</f>
        <v>74.375</v>
      </c>
      <c r="K59" s="94">
        <f>'1 Enterprises'!D$14</f>
        <v>32670</v>
      </c>
      <c r="L59" s="95">
        <f>IF(K59&gt;0,((J59/K59)*I59),0)</f>
        <v>0.0022765534129170492</v>
      </c>
    </row>
    <row r="60" spans="2:12" ht="12.75">
      <c r="B60" s="31" t="s">
        <v>277</v>
      </c>
      <c r="C60" s="92" t="str">
        <f>'2 Income Statement'!B6</f>
        <v>Container Crop 2</v>
      </c>
      <c r="D60" s="145">
        <v>40</v>
      </c>
      <c r="E60" s="145" t="s">
        <v>160</v>
      </c>
      <c r="F60" s="147">
        <v>238</v>
      </c>
      <c r="G60" s="145">
        <v>128</v>
      </c>
      <c r="H60" s="145" t="s">
        <v>160</v>
      </c>
      <c r="I60" s="158">
        <v>2</v>
      </c>
      <c r="J60" s="93">
        <f aca="true" t="shared" si="11" ref="J60:J71">IF(G60&gt;0,(D60*(F60/G60)),0)</f>
        <v>74.375</v>
      </c>
      <c r="K60" s="99">
        <f>'1 Enterprises'!E$14</f>
        <v>14520</v>
      </c>
      <c r="L60" s="95">
        <f aca="true" t="shared" si="12" ref="L60:L71">IF(K60&gt;0,((J60/K60)*I60),0)</f>
        <v>0.010244490358126721</v>
      </c>
    </row>
    <row r="61" spans="2:12" ht="12.75">
      <c r="B61" s="31" t="s">
        <v>278</v>
      </c>
      <c r="C61" s="92" t="str">
        <f>'2 Income Statement'!B7</f>
        <v>Container Crop 3</v>
      </c>
      <c r="D61" s="145">
        <v>40</v>
      </c>
      <c r="E61" s="145" t="s">
        <v>160</v>
      </c>
      <c r="F61" s="147">
        <v>238</v>
      </c>
      <c r="G61" s="145">
        <v>128</v>
      </c>
      <c r="H61" s="145" t="s">
        <v>160</v>
      </c>
      <c r="I61" s="158">
        <v>3</v>
      </c>
      <c r="J61" s="93">
        <f t="shared" si="11"/>
        <v>74.375</v>
      </c>
      <c r="K61" s="99">
        <f>'1 Enterprises'!F$14</f>
        <v>6453.333333333333</v>
      </c>
      <c r="L61" s="95">
        <f t="shared" si="12"/>
        <v>0.03457515495867769</v>
      </c>
    </row>
    <row r="62" spans="2:12" ht="12.75">
      <c r="B62" s="31" t="s">
        <v>279</v>
      </c>
      <c r="C62" s="92" t="str">
        <f>'2 Income Statement'!B8</f>
        <v>Container Crop 4</v>
      </c>
      <c r="D62" s="145">
        <v>40</v>
      </c>
      <c r="E62" s="145" t="s">
        <v>160</v>
      </c>
      <c r="F62" s="147">
        <v>238</v>
      </c>
      <c r="G62" s="145">
        <v>128</v>
      </c>
      <c r="H62" s="145" t="s">
        <v>160</v>
      </c>
      <c r="I62" s="158">
        <v>1</v>
      </c>
      <c r="J62" s="93">
        <f t="shared" si="11"/>
        <v>74.375</v>
      </c>
      <c r="K62" s="99">
        <f>'1 Enterprises'!G$14</f>
        <v>32670</v>
      </c>
      <c r="L62" s="95">
        <f t="shared" si="12"/>
        <v>0.0022765534129170492</v>
      </c>
    </row>
    <row r="63" spans="2:12" ht="12.75">
      <c r="B63" s="31" t="s">
        <v>280</v>
      </c>
      <c r="C63" s="92" t="str">
        <f>'2 Income Statement'!B9</f>
        <v>Container Crop 5</v>
      </c>
      <c r="D63" s="145">
        <v>40</v>
      </c>
      <c r="E63" s="145" t="s">
        <v>160</v>
      </c>
      <c r="F63" s="147">
        <v>238</v>
      </c>
      <c r="G63" s="145">
        <v>128</v>
      </c>
      <c r="H63" s="145" t="s">
        <v>160</v>
      </c>
      <c r="I63" s="158">
        <v>2</v>
      </c>
      <c r="J63" s="93">
        <f t="shared" si="11"/>
        <v>74.375</v>
      </c>
      <c r="K63" s="99">
        <f>'1 Enterprises'!H$14</f>
        <v>14520</v>
      </c>
      <c r="L63" s="95">
        <f t="shared" si="12"/>
        <v>0.010244490358126721</v>
      </c>
    </row>
    <row r="64" spans="2:12" ht="12.75">
      <c r="B64" s="31" t="s">
        <v>281</v>
      </c>
      <c r="C64" s="92" t="str">
        <f>'2 Income Statement'!B10</f>
        <v>Container Crop 6</v>
      </c>
      <c r="D64" s="145">
        <v>40</v>
      </c>
      <c r="E64" s="145" t="s">
        <v>160</v>
      </c>
      <c r="F64" s="147">
        <v>238</v>
      </c>
      <c r="G64" s="145">
        <v>128</v>
      </c>
      <c r="H64" s="145" t="s">
        <v>160</v>
      </c>
      <c r="I64" s="158">
        <v>3</v>
      </c>
      <c r="J64" s="93">
        <f t="shared" si="11"/>
        <v>74.375</v>
      </c>
      <c r="K64" s="99">
        <f>'1 Enterprises'!I$14</f>
        <v>6453.333333333333</v>
      </c>
      <c r="L64" s="95">
        <f t="shared" si="12"/>
        <v>0.03457515495867769</v>
      </c>
    </row>
    <row r="65" spans="2:12" ht="12.75">
      <c r="B65" s="31" t="s">
        <v>282</v>
      </c>
      <c r="C65" s="92" t="str">
        <f>'2 Income Statement'!B11</f>
        <v>Container Crop 7</v>
      </c>
      <c r="D65" s="145">
        <v>40</v>
      </c>
      <c r="E65" s="145" t="s">
        <v>160</v>
      </c>
      <c r="F65" s="147">
        <v>238</v>
      </c>
      <c r="G65" s="145">
        <v>128</v>
      </c>
      <c r="H65" s="145" t="s">
        <v>160</v>
      </c>
      <c r="I65" s="158">
        <v>1</v>
      </c>
      <c r="J65" s="93">
        <f t="shared" si="11"/>
        <v>74.375</v>
      </c>
      <c r="K65" s="99">
        <f>'1 Enterprises'!J$14</f>
        <v>32670</v>
      </c>
      <c r="L65" s="95">
        <f t="shared" si="12"/>
        <v>0.0022765534129170492</v>
      </c>
    </row>
    <row r="66" spans="2:12" ht="12.75">
      <c r="B66" s="31" t="s">
        <v>283</v>
      </c>
      <c r="C66" s="92" t="str">
        <f>'2 Income Statement'!B12</f>
        <v>Container Crop 8</v>
      </c>
      <c r="D66" s="145">
        <v>40</v>
      </c>
      <c r="E66" s="145" t="s">
        <v>160</v>
      </c>
      <c r="F66" s="147">
        <v>238</v>
      </c>
      <c r="G66" s="145">
        <v>128</v>
      </c>
      <c r="H66" s="145" t="s">
        <v>160</v>
      </c>
      <c r="I66" s="158">
        <v>2</v>
      </c>
      <c r="J66" s="93">
        <f t="shared" si="11"/>
        <v>74.375</v>
      </c>
      <c r="K66" s="100">
        <f>'1 Enterprises'!K$14</f>
        <v>14520</v>
      </c>
      <c r="L66" s="95">
        <f t="shared" si="12"/>
        <v>0.010244490358126721</v>
      </c>
    </row>
    <row r="67" spans="2:12" ht="12.75">
      <c r="B67" s="31" t="s">
        <v>284</v>
      </c>
      <c r="C67" s="92" t="str">
        <f>'2 Income Statement'!B13</f>
        <v>Container Crop 9</v>
      </c>
      <c r="D67" s="145">
        <v>40</v>
      </c>
      <c r="E67" s="145" t="s">
        <v>160</v>
      </c>
      <c r="F67" s="147">
        <v>238</v>
      </c>
      <c r="G67" s="145">
        <v>128</v>
      </c>
      <c r="H67" s="145" t="s">
        <v>160</v>
      </c>
      <c r="I67" s="158">
        <v>3</v>
      </c>
      <c r="J67" s="93">
        <f t="shared" si="11"/>
        <v>74.375</v>
      </c>
      <c r="K67" s="100">
        <f>'1 Enterprises'!L$14</f>
        <v>6453.333333333333</v>
      </c>
      <c r="L67" s="95">
        <f t="shared" si="12"/>
        <v>0.03457515495867769</v>
      </c>
    </row>
    <row r="68" spans="2:12" ht="12.75">
      <c r="B68" s="31" t="s">
        <v>285</v>
      </c>
      <c r="C68" s="92" t="str">
        <f>'2 Income Statement'!B14</f>
        <v>Field Crop 1</v>
      </c>
      <c r="D68" s="145">
        <v>40</v>
      </c>
      <c r="E68" s="145" t="s">
        <v>160</v>
      </c>
      <c r="F68" s="147">
        <v>238</v>
      </c>
      <c r="G68" s="145">
        <v>128</v>
      </c>
      <c r="H68" s="145" t="s">
        <v>160</v>
      </c>
      <c r="I68" s="158">
        <v>3</v>
      </c>
      <c r="J68" s="93">
        <f t="shared" si="11"/>
        <v>74.375</v>
      </c>
      <c r="K68" s="100">
        <f>'1 Enterprises'!M$14</f>
        <v>338.79999999999995</v>
      </c>
      <c r="L68" s="95">
        <f t="shared" si="12"/>
        <v>0.6585743801652894</v>
      </c>
    </row>
    <row r="69" spans="2:12" ht="12.75">
      <c r="B69" s="31" t="s">
        <v>286</v>
      </c>
      <c r="C69" s="92" t="str">
        <f>'2 Income Statement'!B15</f>
        <v>Field Crop 2</v>
      </c>
      <c r="D69" s="145">
        <v>40</v>
      </c>
      <c r="E69" s="145" t="s">
        <v>160</v>
      </c>
      <c r="F69" s="147">
        <v>238</v>
      </c>
      <c r="G69" s="145">
        <v>128</v>
      </c>
      <c r="H69" s="145" t="s">
        <v>160</v>
      </c>
      <c r="I69" s="158">
        <v>3</v>
      </c>
      <c r="J69" s="93">
        <f t="shared" si="11"/>
        <v>74.375</v>
      </c>
      <c r="K69" s="100">
        <f>'1 Enterprises'!N$14</f>
        <v>338.79999999999995</v>
      </c>
      <c r="L69" s="95">
        <f t="shared" si="12"/>
        <v>0.6585743801652894</v>
      </c>
    </row>
    <row r="70" spans="2:12" ht="12.75">
      <c r="B70" s="31" t="s">
        <v>287</v>
      </c>
      <c r="C70" s="92" t="str">
        <f>'2 Income Statement'!B16</f>
        <v>Field Crop 3</v>
      </c>
      <c r="D70" s="145">
        <v>40</v>
      </c>
      <c r="E70" s="145" t="s">
        <v>160</v>
      </c>
      <c r="F70" s="147">
        <v>238</v>
      </c>
      <c r="G70" s="145">
        <v>128</v>
      </c>
      <c r="H70" s="145" t="s">
        <v>160</v>
      </c>
      <c r="I70" s="158">
        <v>3</v>
      </c>
      <c r="J70" s="93">
        <f t="shared" si="11"/>
        <v>74.375</v>
      </c>
      <c r="K70" s="100">
        <f>'1 Enterprises'!O$14</f>
        <v>338.79999999999995</v>
      </c>
      <c r="L70" s="95">
        <f t="shared" si="12"/>
        <v>0.6585743801652894</v>
      </c>
    </row>
    <row r="71" spans="2:12" ht="12.75">
      <c r="B71" s="31" t="s">
        <v>288</v>
      </c>
      <c r="C71" s="92" t="str">
        <f>'2 Income Statement'!B17</f>
        <v>Container Crop 10</v>
      </c>
      <c r="D71" s="145">
        <v>40</v>
      </c>
      <c r="E71" s="145" t="s">
        <v>160</v>
      </c>
      <c r="F71" s="147">
        <v>238</v>
      </c>
      <c r="G71" s="145">
        <v>128</v>
      </c>
      <c r="H71" s="145" t="s">
        <v>160</v>
      </c>
      <c r="I71" s="158">
        <v>0</v>
      </c>
      <c r="J71" s="93">
        <f t="shared" si="11"/>
        <v>74.375</v>
      </c>
      <c r="K71" s="100">
        <f>'1 Enterprises'!P$14</f>
        <v>32670</v>
      </c>
      <c r="L71" s="95">
        <f t="shared" si="12"/>
        <v>0</v>
      </c>
    </row>
    <row r="72" spans="2:12" ht="12.75">
      <c r="B72" s="31" t="s">
        <v>289</v>
      </c>
      <c r="C72" s="92" t="str">
        <f>'2 Income Statement'!B18</f>
        <v>Container Crop 11</v>
      </c>
      <c r="D72" s="145">
        <v>40</v>
      </c>
      <c r="E72" s="145" t="s">
        <v>160</v>
      </c>
      <c r="F72" s="147">
        <v>238</v>
      </c>
      <c r="G72" s="145">
        <v>128</v>
      </c>
      <c r="H72" s="145" t="s">
        <v>160</v>
      </c>
      <c r="I72" s="158">
        <v>0</v>
      </c>
      <c r="J72" s="93">
        <f>IF(G72&gt;0,(D72*(F72/G72)),0)</f>
        <v>74.375</v>
      </c>
      <c r="K72" s="100">
        <f>'1 Enterprises'!Q$14</f>
        <v>14520</v>
      </c>
      <c r="L72" s="95">
        <f>IF(K72&gt;0,((J72/K72)*I72),0)</f>
        <v>0</v>
      </c>
    </row>
    <row r="73" spans="2:12" ht="12.75">
      <c r="B73" s="31" t="s">
        <v>290</v>
      </c>
      <c r="C73" s="92" t="str">
        <f>'2 Income Statement'!B19</f>
        <v>Container Crop 12</v>
      </c>
      <c r="D73" s="145">
        <v>40</v>
      </c>
      <c r="E73" s="145" t="s">
        <v>160</v>
      </c>
      <c r="F73" s="147">
        <v>238</v>
      </c>
      <c r="G73" s="145">
        <v>128</v>
      </c>
      <c r="H73" s="145" t="s">
        <v>160</v>
      </c>
      <c r="I73" s="158">
        <v>0</v>
      </c>
      <c r="J73" s="93">
        <f aca="true" t="shared" si="13" ref="J73:J83">IF(G73&gt;0,(D73*(F73/G73)),0)</f>
        <v>74.375</v>
      </c>
      <c r="K73" s="100">
        <f>'1 Enterprises'!R$14</f>
        <v>6453.333333333333</v>
      </c>
      <c r="L73" s="95">
        <f aca="true" t="shared" si="14" ref="L73:L83">IF(K73&gt;0,((J73/K73)*I73),0)</f>
        <v>0</v>
      </c>
    </row>
    <row r="74" spans="2:12" ht="12.75">
      <c r="B74" s="31" t="s">
        <v>291</v>
      </c>
      <c r="C74" s="92" t="str">
        <f>'2 Income Statement'!B20</f>
        <v>Container Crop 13</v>
      </c>
      <c r="D74" s="145">
        <v>40</v>
      </c>
      <c r="E74" s="145" t="s">
        <v>160</v>
      </c>
      <c r="F74" s="147">
        <v>238</v>
      </c>
      <c r="G74" s="145">
        <v>128</v>
      </c>
      <c r="H74" s="145" t="s">
        <v>160</v>
      </c>
      <c r="I74" s="158">
        <v>0</v>
      </c>
      <c r="J74" s="93">
        <f t="shared" si="13"/>
        <v>74.375</v>
      </c>
      <c r="K74" s="100">
        <f>'1 Enterprises'!S$14</f>
        <v>32670</v>
      </c>
      <c r="L74" s="95">
        <f t="shared" si="14"/>
        <v>0</v>
      </c>
    </row>
    <row r="75" spans="2:12" ht="12.75">
      <c r="B75" s="31" t="s">
        <v>292</v>
      </c>
      <c r="C75" s="92" t="str">
        <f>'2 Income Statement'!B21</f>
        <v>Container Crop 14</v>
      </c>
      <c r="D75" s="145">
        <v>40</v>
      </c>
      <c r="E75" s="145" t="s">
        <v>160</v>
      </c>
      <c r="F75" s="147">
        <v>238</v>
      </c>
      <c r="G75" s="145">
        <v>128</v>
      </c>
      <c r="H75" s="145" t="s">
        <v>160</v>
      </c>
      <c r="I75" s="158">
        <v>0</v>
      </c>
      <c r="J75" s="93">
        <f t="shared" si="13"/>
        <v>74.375</v>
      </c>
      <c r="K75" s="100">
        <f>'1 Enterprises'!T$14</f>
        <v>14520</v>
      </c>
      <c r="L75" s="95">
        <f t="shared" si="14"/>
        <v>0</v>
      </c>
    </row>
    <row r="76" spans="2:12" ht="12.75">
      <c r="B76" s="31" t="s">
        <v>293</v>
      </c>
      <c r="C76" s="92" t="str">
        <f>'2 Income Statement'!B22</f>
        <v>Container Crop 15</v>
      </c>
      <c r="D76" s="145">
        <v>40</v>
      </c>
      <c r="E76" s="145" t="s">
        <v>160</v>
      </c>
      <c r="F76" s="147">
        <v>238</v>
      </c>
      <c r="G76" s="145">
        <v>128</v>
      </c>
      <c r="H76" s="145" t="s">
        <v>160</v>
      </c>
      <c r="I76" s="158">
        <v>0</v>
      </c>
      <c r="J76" s="93">
        <f t="shared" si="13"/>
        <v>74.375</v>
      </c>
      <c r="K76" s="100">
        <f>'1 Enterprises'!U$14</f>
        <v>6453.333333333333</v>
      </c>
      <c r="L76" s="95">
        <f t="shared" si="14"/>
        <v>0</v>
      </c>
    </row>
    <row r="77" spans="2:12" ht="12.75">
      <c r="B77" s="31" t="s">
        <v>294</v>
      </c>
      <c r="C77" s="92" t="str">
        <f>'2 Income Statement'!B23</f>
        <v>Container Crop 16</v>
      </c>
      <c r="D77" s="145">
        <v>40</v>
      </c>
      <c r="E77" s="145" t="s">
        <v>160</v>
      </c>
      <c r="F77" s="147">
        <v>238</v>
      </c>
      <c r="G77" s="145">
        <v>128</v>
      </c>
      <c r="H77" s="145" t="s">
        <v>160</v>
      </c>
      <c r="I77" s="158">
        <v>0</v>
      </c>
      <c r="J77" s="93">
        <f t="shared" si="13"/>
        <v>74.375</v>
      </c>
      <c r="K77" s="100">
        <f>'1 Enterprises'!V$14</f>
        <v>32670</v>
      </c>
      <c r="L77" s="95">
        <f t="shared" si="14"/>
        <v>0</v>
      </c>
    </row>
    <row r="78" spans="2:12" ht="12.75">
      <c r="B78" s="31" t="s">
        <v>295</v>
      </c>
      <c r="C78" s="92" t="str">
        <f>'2 Income Statement'!B24</f>
        <v>Container Crop 17</v>
      </c>
      <c r="D78" s="145">
        <v>40</v>
      </c>
      <c r="E78" s="145" t="s">
        <v>160</v>
      </c>
      <c r="F78" s="147">
        <v>238</v>
      </c>
      <c r="G78" s="145">
        <v>128</v>
      </c>
      <c r="H78" s="145" t="s">
        <v>160</v>
      </c>
      <c r="I78" s="158">
        <v>0</v>
      </c>
      <c r="J78" s="93">
        <f t="shared" si="13"/>
        <v>74.375</v>
      </c>
      <c r="K78" s="100">
        <f>'1 Enterprises'!W$14</f>
        <v>14520</v>
      </c>
      <c r="L78" s="95">
        <f t="shared" si="14"/>
        <v>0</v>
      </c>
    </row>
    <row r="79" spans="2:12" ht="12.75">
      <c r="B79" s="31" t="s">
        <v>296</v>
      </c>
      <c r="C79" s="92" t="str">
        <f>'2 Income Statement'!B25</f>
        <v>Container Crop 18</v>
      </c>
      <c r="D79" s="145">
        <v>40</v>
      </c>
      <c r="E79" s="145" t="s">
        <v>160</v>
      </c>
      <c r="F79" s="147">
        <v>238</v>
      </c>
      <c r="G79" s="145">
        <v>128</v>
      </c>
      <c r="H79" s="145" t="s">
        <v>160</v>
      </c>
      <c r="I79" s="158">
        <v>0</v>
      </c>
      <c r="J79" s="93">
        <f t="shared" si="13"/>
        <v>74.375</v>
      </c>
      <c r="K79" s="100">
        <f>'1 Enterprises'!X$14</f>
        <v>6453.333333333333</v>
      </c>
      <c r="L79" s="95">
        <f t="shared" si="14"/>
        <v>0</v>
      </c>
    </row>
    <row r="80" spans="2:12" ht="12.75">
      <c r="B80" s="31" t="s">
        <v>297</v>
      </c>
      <c r="C80" s="92" t="str">
        <f>'2 Income Statement'!B26</f>
        <v>Field Crop 4</v>
      </c>
      <c r="D80" s="145">
        <v>40</v>
      </c>
      <c r="E80" s="145" t="s">
        <v>160</v>
      </c>
      <c r="F80" s="147">
        <v>238</v>
      </c>
      <c r="G80" s="145">
        <v>128</v>
      </c>
      <c r="H80" s="145" t="s">
        <v>160</v>
      </c>
      <c r="I80" s="158">
        <v>0</v>
      </c>
      <c r="J80" s="93">
        <f t="shared" si="13"/>
        <v>74.375</v>
      </c>
      <c r="K80" s="100">
        <f>'1 Enterprises'!Y$14</f>
        <v>338.79999999999995</v>
      </c>
      <c r="L80" s="95">
        <f t="shared" si="14"/>
        <v>0</v>
      </c>
    </row>
    <row r="81" spans="2:12" ht="12.75">
      <c r="B81" s="31" t="s">
        <v>298</v>
      </c>
      <c r="C81" s="92" t="str">
        <f>'2 Income Statement'!B27</f>
        <v>Field Crop 5</v>
      </c>
      <c r="D81" s="145">
        <v>40</v>
      </c>
      <c r="E81" s="145" t="s">
        <v>160</v>
      </c>
      <c r="F81" s="147">
        <v>238</v>
      </c>
      <c r="G81" s="145">
        <v>128</v>
      </c>
      <c r="H81" s="145" t="s">
        <v>160</v>
      </c>
      <c r="I81" s="158">
        <v>0</v>
      </c>
      <c r="J81" s="93">
        <f t="shared" si="13"/>
        <v>74.375</v>
      </c>
      <c r="K81" s="100">
        <f>'1 Enterprises'!Z$14</f>
        <v>338.79999999999995</v>
      </c>
      <c r="L81" s="95">
        <f t="shared" si="14"/>
        <v>0</v>
      </c>
    </row>
    <row r="82" spans="2:12" ht="12.75">
      <c r="B82" s="31" t="s">
        <v>299</v>
      </c>
      <c r="C82" s="92" t="str">
        <f>'2 Income Statement'!B28</f>
        <v>Field Crop 6</v>
      </c>
      <c r="D82" s="145">
        <v>40</v>
      </c>
      <c r="E82" s="145" t="s">
        <v>160</v>
      </c>
      <c r="F82" s="147">
        <v>238</v>
      </c>
      <c r="G82" s="145">
        <v>128</v>
      </c>
      <c r="H82" s="145" t="s">
        <v>160</v>
      </c>
      <c r="I82" s="158">
        <v>0</v>
      </c>
      <c r="J82" s="93">
        <f t="shared" si="13"/>
        <v>74.375</v>
      </c>
      <c r="K82" s="100">
        <f>'1 Enterprises'!AA$14</f>
        <v>338.79999999999995</v>
      </c>
      <c r="L82" s="95">
        <f t="shared" si="14"/>
        <v>0</v>
      </c>
    </row>
    <row r="83" spans="2:12" ht="12.75">
      <c r="B83" s="31" t="s">
        <v>300</v>
      </c>
      <c r="C83" s="92" t="str">
        <f>'2 Income Statement'!B29</f>
        <v>Field Crop 7</v>
      </c>
      <c r="D83" s="145">
        <v>40</v>
      </c>
      <c r="E83" s="145" t="s">
        <v>160</v>
      </c>
      <c r="F83" s="147">
        <v>238</v>
      </c>
      <c r="G83" s="145">
        <v>128</v>
      </c>
      <c r="H83" s="145" t="s">
        <v>160</v>
      </c>
      <c r="I83" s="158">
        <v>0</v>
      </c>
      <c r="J83" s="93">
        <f t="shared" si="13"/>
        <v>74.375</v>
      </c>
      <c r="K83" s="100">
        <f>'1 Enterprises'!AB$14</f>
        <v>338.79999999999995</v>
      </c>
      <c r="L83" s="95">
        <f t="shared" si="14"/>
        <v>0</v>
      </c>
    </row>
    <row r="84" ht="12">
      <c r="C84" s="31"/>
    </row>
    <row r="85" spans="3:12" ht="12.75">
      <c r="C85" s="275" t="s">
        <v>53</v>
      </c>
      <c r="D85" s="276"/>
      <c r="E85" s="276"/>
      <c r="F85" s="276"/>
      <c r="G85" s="276"/>
      <c r="H85" s="276"/>
      <c r="I85" s="276"/>
      <c r="J85" s="276"/>
      <c r="K85" s="276"/>
      <c r="L85" s="277"/>
    </row>
    <row r="86" spans="2:12" ht="12.75">
      <c r="B86" s="31" t="s">
        <v>276</v>
      </c>
      <c r="C86" s="92" t="str">
        <f>'2 Income Statement'!B5</f>
        <v>Container Crop 1</v>
      </c>
      <c r="D86" s="145"/>
      <c r="E86" s="145"/>
      <c r="F86" s="147"/>
      <c r="G86" s="145"/>
      <c r="H86" s="145"/>
      <c r="I86" s="158"/>
      <c r="J86" s="93">
        <f>IF(G86&gt;0,(D86*(F86/G86)),0)</f>
        <v>0</v>
      </c>
      <c r="K86" s="94">
        <f>'1 Enterprises'!D$14</f>
        <v>32670</v>
      </c>
      <c r="L86" s="95">
        <f>IF(K86&gt;0,((J86/K86)*I86),0)</f>
        <v>0</v>
      </c>
    </row>
    <row r="87" spans="2:12" ht="12.75">
      <c r="B87" s="31" t="s">
        <v>277</v>
      </c>
      <c r="C87" s="92" t="str">
        <f>'2 Income Statement'!B6</f>
        <v>Container Crop 2</v>
      </c>
      <c r="D87" s="145"/>
      <c r="E87" s="145"/>
      <c r="F87" s="147"/>
      <c r="G87" s="145"/>
      <c r="H87" s="145"/>
      <c r="I87" s="158"/>
      <c r="J87" s="93">
        <f aca="true" t="shared" si="15" ref="J87:J98">IF(G87&gt;0,(D87*(F87/G87)),0)</f>
        <v>0</v>
      </c>
      <c r="K87" s="99">
        <f>'1 Enterprises'!E$14</f>
        <v>14520</v>
      </c>
      <c r="L87" s="95">
        <f aca="true" t="shared" si="16" ref="L87:L98">IF(K87&gt;0,((J87/K87)*I87),0)</f>
        <v>0</v>
      </c>
    </row>
    <row r="88" spans="2:12" ht="12.75">
      <c r="B88" s="31" t="s">
        <v>278</v>
      </c>
      <c r="C88" s="92" t="str">
        <f>'2 Income Statement'!B7</f>
        <v>Container Crop 3</v>
      </c>
      <c r="D88" s="145"/>
      <c r="E88" s="145"/>
      <c r="F88" s="147"/>
      <c r="G88" s="145"/>
      <c r="H88" s="145"/>
      <c r="I88" s="158"/>
      <c r="J88" s="93">
        <f t="shared" si="15"/>
        <v>0</v>
      </c>
      <c r="K88" s="99">
        <f>'1 Enterprises'!F$14</f>
        <v>6453.333333333333</v>
      </c>
      <c r="L88" s="95">
        <f t="shared" si="16"/>
        <v>0</v>
      </c>
    </row>
    <row r="89" spans="2:12" ht="12.75">
      <c r="B89" s="31" t="s">
        <v>279</v>
      </c>
      <c r="C89" s="92" t="str">
        <f>'2 Income Statement'!B8</f>
        <v>Container Crop 4</v>
      </c>
      <c r="D89" s="145"/>
      <c r="E89" s="145"/>
      <c r="F89" s="147"/>
      <c r="G89" s="145"/>
      <c r="H89" s="145"/>
      <c r="I89" s="158"/>
      <c r="J89" s="93">
        <f t="shared" si="15"/>
        <v>0</v>
      </c>
      <c r="K89" s="99">
        <f>'1 Enterprises'!G$14</f>
        <v>32670</v>
      </c>
      <c r="L89" s="95">
        <f t="shared" si="16"/>
        <v>0</v>
      </c>
    </row>
    <row r="90" spans="2:12" ht="12.75">
      <c r="B90" s="31" t="s">
        <v>280</v>
      </c>
      <c r="C90" s="92" t="str">
        <f>'2 Income Statement'!B9</f>
        <v>Container Crop 5</v>
      </c>
      <c r="D90" s="145"/>
      <c r="E90" s="145"/>
      <c r="F90" s="147"/>
      <c r="G90" s="145"/>
      <c r="H90" s="145"/>
      <c r="I90" s="158"/>
      <c r="J90" s="93">
        <f t="shared" si="15"/>
        <v>0</v>
      </c>
      <c r="K90" s="99">
        <f>'1 Enterprises'!H$14</f>
        <v>14520</v>
      </c>
      <c r="L90" s="95">
        <f t="shared" si="16"/>
        <v>0</v>
      </c>
    </row>
    <row r="91" spans="2:12" ht="12.75">
      <c r="B91" s="31" t="s">
        <v>281</v>
      </c>
      <c r="C91" s="92" t="str">
        <f>'2 Income Statement'!B10</f>
        <v>Container Crop 6</v>
      </c>
      <c r="D91" s="145"/>
      <c r="E91" s="145"/>
      <c r="F91" s="147"/>
      <c r="G91" s="145"/>
      <c r="H91" s="145"/>
      <c r="I91" s="158"/>
      <c r="J91" s="93">
        <f t="shared" si="15"/>
        <v>0</v>
      </c>
      <c r="K91" s="99">
        <f>'1 Enterprises'!I$14</f>
        <v>6453.333333333333</v>
      </c>
      <c r="L91" s="95">
        <f t="shared" si="16"/>
        <v>0</v>
      </c>
    </row>
    <row r="92" spans="2:12" ht="12.75">
      <c r="B92" s="31" t="s">
        <v>282</v>
      </c>
      <c r="C92" s="92" t="str">
        <f>'2 Income Statement'!B11</f>
        <v>Container Crop 7</v>
      </c>
      <c r="D92" s="145"/>
      <c r="E92" s="145"/>
      <c r="F92" s="147"/>
      <c r="G92" s="145"/>
      <c r="H92" s="145"/>
      <c r="I92" s="158"/>
      <c r="J92" s="93">
        <f t="shared" si="15"/>
        <v>0</v>
      </c>
      <c r="K92" s="99">
        <f>'1 Enterprises'!J$14</f>
        <v>32670</v>
      </c>
      <c r="L92" s="95">
        <f t="shared" si="16"/>
        <v>0</v>
      </c>
    </row>
    <row r="93" spans="2:12" ht="12.75">
      <c r="B93" s="31" t="s">
        <v>283</v>
      </c>
      <c r="C93" s="92" t="str">
        <f>'2 Income Statement'!B12</f>
        <v>Container Crop 8</v>
      </c>
      <c r="D93" s="145"/>
      <c r="E93" s="145"/>
      <c r="F93" s="147"/>
      <c r="G93" s="145"/>
      <c r="H93" s="145"/>
      <c r="I93" s="158"/>
      <c r="J93" s="93">
        <f t="shared" si="15"/>
        <v>0</v>
      </c>
      <c r="K93" s="100">
        <f>'1 Enterprises'!K$14</f>
        <v>14520</v>
      </c>
      <c r="L93" s="95">
        <f t="shared" si="16"/>
        <v>0</v>
      </c>
    </row>
    <row r="94" spans="2:12" ht="12.75">
      <c r="B94" s="31" t="s">
        <v>284</v>
      </c>
      <c r="C94" s="92" t="str">
        <f>'2 Income Statement'!B13</f>
        <v>Container Crop 9</v>
      </c>
      <c r="D94" s="145"/>
      <c r="E94" s="145"/>
      <c r="F94" s="147"/>
      <c r="G94" s="145"/>
      <c r="H94" s="145"/>
      <c r="I94" s="158"/>
      <c r="J94" s="93">
        <f t="shared" si="15"/>
        <v>0</v>
      </c>
      <c r="K94" s="100">
        <f>'1 Enterprises'!L$14</f>
        <v>6453.333333333333</v>
      </c>
      <c r="L94" s="95">
        <f t="shared" si="16"/>
        <v>0</v>
      </c>
    </row>
    <row r="95" spans="2:12" ht="12.75">
      <c r="B95" s="31" t="s">
        <v>285</v>
      </c>
      <c r="C95" s="92" t="str">
        <f>'2 Income Statement'!B14</f>
        <v>Field Crop 1</v>
      </c>
      <c r="D95" s="145"/>
      <c r="E95" s="145"/>
      <c r="F95" s="147"/>
      <c r="G95" s="145"/>
      <c r="H95" s="145"/>
      <c r="I95" s="158"/>
      <c r="J95" s="93">
        <f t="shared" si="15"/>
        <v>0</v>
      </c>
      <c r="K95" s="100">
        <f>'1 Enterprises'!M$14</f>
        <v>338.79999999999995</v>
      </c>
      <c r="L95" s="95">
        <f t="shared" si="16"/>
        <v>0</v>
      </c>
    </row>
    <row r="96" spans="2:12" ht="12.75">
      <c r="B96" s="31" t="s">
        <v>286</v>
      </c>
      <c r="C96" s="92" t="str">
        <f>'2 Income Statement'!B15</f>
        <v>Field Crop 2</v>
      </c>
      <c r="D96" s="145"/>
      <c r="E96" s="145"/>
      <c r="F96" s="147"/>
      <c r="G96" s="145"/>
      <c r="H96" s="145"/>
      <c r="I96" s="158"/>
      <c r="J96" s="93">
        <f t="shared" si="15"/>
        <v>0</v>
      </c>
      <c r="K96" s="100">
        <f>'1 Enterprises'!N$14</f>
        <v>338.79999999999995</v>
      </c>
      <c r="L96" s="95">
        <f t="shared" si="16"/>
        <v>0</v>
      </c>
    </row>
    <row r="97" spans="2:12" ht="12.75">
      <c r="B97" s="31" t="s">
        <v>287</v>
      </c>
      <c r="C97" s="92" t="str">
        <f>'2 Income Statement'!B16</f>
        <v>Field Crop 3</v>
      </c>
      <c r="D97" s="145"/>
      <c r="E97" s="145"/>
      <c r="F97" s="147"/>
      <c r="G97" s="145"/>
      <c r="H97" s="145"/>
      <c r="I97" s="158"/>
      <c r="J97" s="93">
        <f t="shared" si="15"/>
        <v>0</v>
      </c>
      <c r="K97" s="100">
        <f>'1 Enterprises'!O$14</f>
        <v>338.79999999999995</v>
      </c>
      <c r="L97" s="95">
        <f t="shared" si="16"/>
        <v>0</v>
      </c>
    </row>
    <row r="98" spans="2:12" ht="12.75">
      <c r="B98" s="31" t="s">
        <v>288</v>
      </c>
      <c r="C98" s="92" t="str">
        <f>'2 Income Statement'!B17</f>
        <v>Container Crop 10</v>
      </c>
      <c r="D98" s="145"/>
      <c r="E98" s="145"/>
      <c r="F98" s="147"/>
      <c r="G98" s="145"/>
      <c r="H98" s="145"/>
      <c r="I98" s="158"/>
      <c r="J98" s="93">
        <f t="shared" si="15"/>
        <v>0</v>
      </c>
      <c r="K98" s="100">
        <f>'1 Enterprises'!P$14</f>
        <v>32670</v>
      </c>
      <c r="L98" s="95">
        <f t="shared" si="16"/>
        <v>0</v>
      </c>
    </row>
    <row r="99" spans="2:12" ht="12.75">
      <c r="B99" s="31" t="s">
        <v>289</v>
      </c>
      <c r="C99" s="92" t="str">
        <f>'2 Income Statement'!B18</f>
        <v>Container Crop 11</v>
      </c>
      <c r="D99" s="145"/>
      <c r="E99" s="145"/>
      <c r="F99" s="147"/>
      <c r="G99" s="145"/>
      <c r="H99" s="145"/>
      <c r="I99" s="158"/>
      <c r="J99" s="93">
        <f>IF(G99&gt;0,(D99*(F99/G99)),0)</f>
        <v>0</v>
      </c>
      <c r="K99" s="100">
        <f>'1 Enterprises'!Q$14</f>
        <v>14520</v>
      </c>
      <c r="L99" s="95">
        <f>IF(K99&gt;0,((J99/K99)*I99),0)</f>
        <v>0</v>
      </c>
    </row>
    <row r="100" spans="2:12" ht="12.75">
      <c r="B100" s="31" t="s">
        <v>290</v>
      </c>
      <c r="C100" s="92" t="str">
        <f>'2 Income Statement'!B19</f>
        <v>Container Crop 12</v>
      </c>
      <c r="D100" s="145"/>
      <c r="E100" s="145"/>
      <c r="F100" s="147"/>
      <c r="G100" s="145"/>
      <c r="H100" s="145"/>
      <c r="I100" s="158"/>
      <c r="J100" s="93">
        <f aca="true" t="shared" si="17" ref="J100:J110">IF(G100&gt;0,(D100*(F100/G100)),0)</f>
        <v>0</v>
      </c>
      <c r="K100" s="100">
        <f>'1 Enterprises'!R$14</f>
        <v>6453.333333333333</v>
      </c>
      <c r="L100" s="95">
        <f aca="true" t="shared" si="18" ref="L100:L110">IF(K100&gt;0,((J100/K100)*I100),0)</f>
        <v>0</v>
      </c>
    </row>
    <row r="101" spans="2:12" ht="12.75">
      <c r="B101" s="31" t="s">
        <v>291</v>
      </c>
      <c r="C101" s="92" t="str">
        <f>'2 Income Statement'!B20</f>
        <v>Container Crop 13</v>
      </c>
      <c r="D101" s="145"/>
      <c r="E101" s="145"/>
      <c r="F101" s="147"/>
      <c r="G101" s="145"/>
      <c r="H101" s="145"/>
      <c r="I101" s="158"/>
      <c r="J101" s="93">
        <f t="shared" si="17"/>
        <v>0</v>
      </c>
      <c r="K101" s="100">
        <f>'1 Enterprises'!S$14</f>
        <v>32670</v>
      </c>
      <c r="L101" s="95">
        <f t="shared" si="18"/>
        <v>0</v>
      </c>
    </row>
    <row r="102" spans="2:12" ht="12.75">
      <c r="B102" s="31" t="s">
        <v>292</v>
      </c>
      <c r="C102" s="92" t="str">
        <f>'2 Income Statement'!B21</f>
        <v>Container Crop 14</v>
      </c>
      <c r="D102" s="145"/>
      <c r="E102" s="145"/>
      <c r="F102" s="147"/>
      <c r="G102" s="145"/>
      <c r="H102" s="145"/>
      <c r="I102" s="158"/>
      <c r="J102" s="93">
        <f t="shared" si="17"/>
        <v>0</v>
      </c>
      <c r="K102" s="100">
        <f>'1 Enterprises'!T$14</f>
        <v>14520</v>
      </c>
      <c r="L102" s="95">
        <f t="shared" si="18"/>
        <v>0</v>
      </c>
    </row>
    <row r="103" spans="2:12" ht="12.75">
      <c r="B103" s="31" t="s">
        <v>293</v>
      </c>
      <c r="C103" s="92" t="str">
        <f>'2 Income Statement'!B22</f>
        <v>Container Crop 15</v>
      </c>
      <c r="D103" s="145"/>
      <c r="E103" s="145"/>
      <c r="F103" s="147"/>
      <c r="G103" s="145"/>
      <c r="H103" s="145"/>
      <c r="I103" s="158"/>
      <c r="J103" s="93">
        <f t="shared" si="17"/>
        <v>0</v>
      </c>
      <c r="K103" s="100">
        <f>'1 Enterprises'!U$14</f>
        <v>6453.333333333333</v>
      </c>
      <c r="L103" s="95">
        <f t="shared" si="18"/>
        <v>0</v>
      </c>
    </row>
    <row r="104" spans="2:12" ht="12.75">
      <c r="B104" s="31" t="s">
        <v>294</v>
      </c>
      <c r="C104" s="92" t="str">
        <f>'2 Income Statement'!B23</f>
        <v>Container Crop 16</v>
      </c>
      <c r="D104" s="145"/>
      <c r="E104" s="145"/>
      <c r="F104" s="147"/>
      <c r="G104" s="145"/>
      <c r="H104" s="145"/>
      <c r="I104" s="158"/>
      <c r="J104" s="93">
        <f t="shared" si="17"/>
        <v>0</v>
      </c>
      <c r="K104" s="100">
        <f>'1 Enterprises'!V$14</f>
        <v>32670</v>
      </c>
      <c r="L104" s="95">
        <f t="shared" si="18"/>
        <v>0</v>
      </c>
    </row>
    <row r="105" spans="2:12" ht="12.75">
      <c r="B105" s="31" t="s">
        <v>295</v>
      </c>
      <c r="C105" s="92" t="str">
        <f>'2 Income Statement'!B24</f>
        <v>Container Crop 17</v>
      </c>
      <c r="D105" s="145"/>
      <c r="E105" s="145"/>
      <c r="F105" s="147"/>
      <c r="G105" s="145"/>
      <c r="H105" s="145"/>
      <c r="I105" s="158"/>
      <c r="J105" s="93">
        <f t="shared" si="17"/>
        <v>0</v>
      </c>
      <c r="K105" s="100">
        <f>'1 Enterprises'!W$14</f>
        <v>14520</v>
      </c>
      <c r="L105" s="95">
        <f t="shared" si="18"/>
        <v>0</v>
      </c>
    </row>
    <row r="106" spans="2:12" ht="12.75">
      <c r="B106" s="31" t="s">
        <v>296</v>
      </c>
      <c r="C106" s="92" t="str">
        <f>'2 Income Statement'!B25</f>
        <v>Container Crop 18</v>
      </c>
      <c r="D106" s="145"/>
      <c r="E106" s="145"/>
      <c r="F106" s="147"/>
      <c r="G106" s="145"/>
      <c r="H106" s="145"/>
      <c r="I106" s="158"/>
      <c r="J106" s="93">
        <f t="shared" si="17"/>
        <v>0</v>
      </c>
      <c r="K106" s="100">
        <f>'1 Enterprises'!X$14</f>
        <v>6453.333333333333</v>
      </c>
      <c r="L106" s="95">
        <f t="shared" si="18"/>
        <v>0</v>
      </c>
    </row>
    <row r="107" spans="2:12" ht="12.75">
      <c r="B107" s="31" t="s">
        <v>297</v>
      </c>
      <c r="C107" s="92" t="str">
        <f>'2 Income Statement'!B26</f>
        <v>Field Crop 4</v>
      </c>
      <c r="D107" s="145"/>
      <c r="E107" s="145"/>
      <c r="F107" s="147"/>
      <c r="G107" s="145"/>
      <c r="H107" s="145"/>
      <c r="I107" s="158"/>
      <c r="J107" s="93">
        <f t="shared" si="17"/>
        <v>0</v>
      </c>
      <c r="K107" s="100">
        <f>'1 Enterprises'!Y$14</f>
        <v>338.79999999999995</v>
      </c>
      <c r="L107" s="95">
        <f t="shared" si="18"/>
        <v>0</v>
      </c>
    </row>
    <row r="108" spans="2:12" ht="12.75">
      <c r="B108" s="31" t="s">
        <v>298</v>
      </c>
      <c r="C108" s="92" t="str">
        <f>'2 Income Statement'!B27</f>
        <v>Field Crop 5</v>
      </c>
      <c r="D108" s="145"/>
      <c r="E108" s="145"/>
      <c r="F108" s="147"/>
      <c r="G108" s="145"/>
      <c r="H108" s="145"/>
      <c r="I108" s="158"/>
      <c r="J108" s="93">
        <f t="shared" si="17"/>
        <v>0</v>
      </c>
      <c r="K108" s="100">
        <f>'1 Enterprises'!Z$14</f>
        <v>338.79999999999995</v>
      </c>
      <c r="L108" s="95">
        <f t="shared" si="18"/>
        <v>0</v>
      </c>
    </row>
    <row r="109" spans="2:12" ht="12.75">
      <c r="B109" s="31" t="s">
        <v>299</v>
      </c>
      <c r="C109" s="92" t="str">
        <f>'2 Income Statement'!B28</f>
        <v>Field Crop 6</v>
      </c>
      <c r="D109" s="145"/>
      <c r="E109" s="145"/>
      <c r="F109" s="147"/>
      <c r="G109" s="145"/>
      <c r="H109" s="145"/>
      <c r="I109" s="158"/>
      <c r="J109" s="93">
        <f t="shared" si="17"/>
        <v>0</v>
      </c>
      <c r="K109" s="100">
        <f>'1 Enterprises'!AA$14</f>
        <v>338.79999999999995</v>
      </c>
      <c r="L109" s="95">
        <f t="shared" si="18"/>
        <v>0</v>
      </c>
    </row>
    <row r="110" spans="2:12" ht="12.75">
      <c r="B110" s="31" t="s">
        <v>300</v>
      </c>
      <c r="C110" s="92" t="str">
        <f>'2 Income Statement'!B29</f>
        <v>Field Crop 7</v>
      </c>
      <c r="D110" s="145"/>
      <c r="E110" s="145"/>
      <c r="F110" s="147"/>
      <c r="G110" s="145"/>
      <c r="H110" s="145"/>
      <c r="I110" s="158"/>
      <c r="J110" s="93">
        <f t="shared" si="17"/>
        <v>0</v>
      </c>
      <c r="K110" s="100">
        <f>'1 Enterprises'!AB$14</f>
        <v>338.79999999999995</v>
      </c>
      <c r="L110" s="95">
        <f t="shared" si="18"/>
        <v>0</v>
      </c>
    </row>
    <row r="111" ht="12">
      <c r="C111" s="31"/>
    </row>
    <row r="112" spans="3:12" ht="12.75">
      <c r="C112" s="275" t="s">
        <v>52</v>
      </c>
      <c r="D112" s="276"/>
      <c r="E112" s="276"/>
      <c r="F112" s="276"/>
      <c r="G112" s="276"/>
      <c r="H112" s="276"/>
      <c r="I112" s="276"/>
      <c r="J112" s="276"/>
      <c r="K112" s="276"/>
      <c r="L112" s="277"/>
    </row>
    <row r="113" spans="2:12" ht="12.75">
      <c r="B113" s="31" t="s">
        <v>276</v>
      </c>
      <c r="C113" s="92" t="str">
        <f>'2 Income Statement'!B5</f>
        <v>Container Crop 1</v>
      </c>
      <c r="D113" s="145"/>
      <c r="E113" s="145"/>
      <c r="F113" s="147"/>
      <c r="G113" s="145"/>
      <c r="H113" s="145"/>
      <c r="I113" s="158"/>
      <c r="J113" s="93">
        <f>IF(G113&gt;0,(D113*(F113/G113)),0)</f>
        <v>0</v>
      </c>
      <c r="K113" s="94">
        <f>'1 Enterprises'!D$14</f>
        <v>32670</v>
      </c>
      <c r="L113" s="95">
        <f>IF(K113&gt;0,((J113/K113)*I113),0)</f>
        <v>0</v>
      </c>
    </row>
    <row r="114" spans="2:12" ht="12.75">
      <c r="B114" s="31" t="s">
        <v>277</v>
      </c>
      <c r="C114" s="92" t="str">
        <f>'2 Income Statement'!B6</f>
        <v>Container Crop 2</v>
      </c>
      <c r="D114" s="145"/>
      <c r="E114" s="145"/>
      <c r="F114" s="147"/>
      <c r="G114" s="145"/>
      <c r="H114" s="145"/>
      <c r="I114" s="158"/>
      <c r="J114" s="93">
        <f aca="true" t="shared" si="19" ref="J114:J125">IF(G114&gt;0,(D114*(F114/G114)),0)</f>
        <v>0</v>
      </c>
      <c r="K114" s="99">
        <f>'1 Enterprises'!E$14</f>
        <v>14520</v>
      </c>
      <c r="L114" s="95">
        <f aca="true" t="shared" si="20" ref="L114:L125">IF(K114&gt;0,((J114/K114)*I114),0)</f>
        <v>0</v>
      </c>
    </row>
    <row r="115" spans="2:12" ht="12.75">
      <c r="B115" s="31" t="s">
        <v>278</v>
      </c>
      <c r="C115" s="92" t="str">
        <f>'2 Income Statement'!B7</f>
        <v>Container Crop 3</v>
      </c>
      <c r="D115" s="145"/>
      <c r="E115" s="145"/>
      <c r="F115" s="147"/>
      <c r="G115" s="145"/>
      <c r="H115" s="145"/>
      <c r="I115" s="158"/>
      <c r="J115" s="93">
        <f t="shared" si="19"/>
        <v>0</v>
      </c>
      <c r="K115" s="99">
        <f>'1 Enterprises'!F$14</f>
        <v>6453.333333333333</v>
      </c>
      <c r="L115" s="95">
        <f t="shared" si="20"/>
        <v>0</v>
      </c>
    </row>
    <row r="116" spans="2:12" ht="12.75">
      <c r="B116" s="31" t="s">
        <v>279</v>
      </c>
      <c r="C116" s="92" t="str">
        <f>'2 Income Statement'!B8</f>
        <v>Container Crop 4</v>
      </c>
      <c r="D116" s="145"/>
      <c r="E116" s="145"/>
      <c r="F116" s="147"/>
      <c r="G116" s="145"/>
      <c r="H116" s="145"/>
      <c r="I116" s="158"/>
      <c r="J116" s="93">
        <f t="shared" si="19"/>
        <v>0</v>
      </c>
      <c r="K116" s="99">
        <f>'1 Enterprises'!G$14</f>
        <v>32670</v>
      </c>
      <c r="L116" s="95">
        <f t="shared" si="20"/>
        <v>0</v>
      </c>
    </row>
    <row r="117" spans="2:12" ht="12.75">
      <c r="B117" s="31" t="s">
        <v>280</v>
      </c>
      <c r="C117" s="92" t="str">
        <f>'2 Income Statement'!B9</f>
        <v>Container Crop 5</v>
      </c>
      <c r="D117" s="145"/>
      <c r="E117" s="145"/>
      <c r="F117" s="147"/>
      <c r="G117" s="145"/>
      <c r="H117" s="145"/>
      <c r="I117" s="158"/>
      <c r="J117" s="93">
        <f t="shared" si="19"/>
        <v>0</v>
      </c>
      <c r="K117" s="99">
        <f>'1 Enterprises'!H$14</f>
        <v>14520</v>
      </c>
      <c r="L117" s="95">
        <f t="shared" si="20"/>
        <v>0</v>
      </c>
    </row>
    <row r="118" spans="2:12" ht="12.75">
      <c r="B118" s="31" t="s">
        <v>281</v>
      </c>
      <c r="C118" s="92" t="str">
        <f>'2 Income Statement'!B10</f>
        <v>Container Crop 6</v>
      </c>
      <c r="D118" s="145"/>
      <c r="E118" s="145"/>
      <c r="F118" s="147"/>
      <c r="G118" s="145"/>
      <c r="H118" s="145"/>
      <c r="I118" s="158"/>
      <c r="J118" s="93">
        <f t="shared" si="19"/>
        <v>0</v>
      </c>
      <c r="K118" s="99">
        <f>'1 Enterprises'!I$14</f>
        <v>6453.333333333333</v>
      </c>
      <c r="L118" s="95">
        <f t="shared" si="20"/>
        <v>0</v>
      </c>
    </row>
    <row r="119" spans="2:12" ht="12.75">
      <c r="B119" s="31" t="s">
        <v>282</v>
      </c>
      <c r="C119" s="92" t="str">
        <f>'2 Income Statement'!B11</f>
        <v>Container Crop 7</v>
      </c>
      <c r="D119" s="145"/>
      <c r="E119" s="145"/>
      <c r="F119" s="147"/>
      <c r="G119" s="145"/>
      <c r="H119" s="145"/>
      <c r="I119" s="158"/>
      <c r="J119" s="93">
        <f t="shared" si="19"/>
        <v>0</v>
      </c>
      <c r="K119" s="99">
        <f>'1 Enterprises'!J$14</f>
        <v>32670</v>
      </c>
      <c r="L119" s="95">
        <f t="shared" si="20"/>
        <v>0</v>
      </c>
    </row>
    <row r="120" spans="2:12" ht="12.75">
      <c r="B120" s="31" t="s">
        <v>283</v>
      </c>
      <c r="C120" s="92" t="str">
        <f>'2 Income Statement'!B12</f>
        <v>Container Crop 8</v>
      </c>
      <c r="D120" s="145"/>
      <c r="E120" s="145"/>
      <c r="F120" s="147"/>
      <c r="G120" s="145"/>
      <c r="H120" s="145"/>
      <c r="I120" s="158"/>
      <c r="J120" s="93">
        <f t="shared" si="19"/>
        <v>0</v>
      </c>
      <c r="K120" s="100">
        <f>'1 Enterprises'!K$14</f>
        <v>14520</v>
      </c>
      <c r="L120" s="95">
        <f t="shared" si="20"/>
        <v>0</v>
      </c>
    </row>
    <row r="121" spans="2:12" ht="12.75">
      <c r="B121" s="31" t="s">
        <v>284</v>
      </c>
      <c r="C121" s="92" t="str">
        <f>'2 Income Statement'!B13</f>
        <v>Container Crop 9</v>
      </c>
      <c r="D121" s="145"/>
      <c r="E121" s="145"/>
      <c r="F121" s="147"/>
      <c r="G121" s="145"/>
      <c r="H121" s="145"/>
      <c r="I121" s="158"/>
      <c r="J121" s="93">
        <f t="shared" si="19"/>
        <v>0</v>
      </c>
      <c r="K121" s="100">
        <f>'1 Enterprises'!L$14</f>
        <v>6453.333333333333</v>
      </c>
      <c r="L121" s="95">
        <f t="shared" si="20"/>
        <v>0</v>
      </c>
    </row>
    <row r="122" spans="2:12" ht="12.75">
      <c r="B122" s="31" t="s">
        <v>285</v>
      </c>
      <c r="C122" s="92" t="str">
        <f>'2 Income Statement'!B14</f>
        <v>Field Crop 1</v>
      </c>
      <c r="D122" s="145"/>
      <c r="E122" s="145"/>
      <c r="F122" s="147"/>
      <c r="G122" s="145"/>
      <c r="H122" s="145"/>
      <c r="I122" s="158"/>
      <c r="J122" s="93">
        <f t="shared" si="19"/>
        <v>0</v>
      </c>
      <c r="K122" s="100">
        <f>'1 Enterprises'!M$14</f>
        <v>338.79999999999995</v>
      </c>
      <c r="L122" s="95">
        <f t="shared" si="20"/>
        <v>0</v>
      </c>
    </row>
    <row r="123" spans="2:12" ht="12.75">
      <c r="B123" s="31" t="s">
        <v>286</v>
      </c>
      <c r="C123" s="92" t="str">
        <f>'2 Income Statement'!B15</f>
        <v>Field Crop 2</v>
      </c>
      <c r="D123" s="145"/>
      <c r="E123" s="145"/>
      <c r="F123" s="147"/>
      <c r="G123" s="145"/>
      <c r="H123" s="145"/>
      <c r="I123" s="158"/>
      <c r="J123" s="93">
        <f t="shared" si="19"/>
        <v>0</v>
      </c>
      <c r="K123" s="100">
        <f>'1 Enterprises'!N$14</f>
        <v>338.79999999999995</v>
      </c>
      <c r="L123" s="95">
        <f t="shared" si="20"/>
        <v>0</v>
      </c>
    </row>
    <row r="124" spans="2:12" ht="12.75">
      <c r="B124" s="31" t="s">
        <v>287</v>
      </c>
      <c r="C124" s="92" t="str">
        <f>'2 Income Statement'!B16</f>
        <v>Field Crop 3</v>
      </c>
      <c r="D124" s="145"/>
      <c r="E124" s="145"/>
      <c r="F124" s="147"/>
      <c r="G124" s="145"/>
      <c r="H124" s="145"/>
      <c r="I124" s="158"/>
      <c r="J124" s="93">
        <f t="shared" si="19"/>
        <v>0</v>
      </c>
      <c r="K124" s="100">
        <f>'1 Enterprises'!O$14</f>
        <v>338.79999999999995</v>
      </c>
      <c r="L124" s="95">
        <f t="shared" si="20"/>
        <v>0</v>
      </c>
    </row>
    <row r="125" spans="2:12" ht="12.75">
      <c r="B125" s="31" t="s">
        <v>288</v>
      </c>
      <c r="C125" s="92" t="str">
        <f>'2 Income Statement'!B17</f>
        <v>Container Crop 10</v>
      </c>
      <c r="D125" s="145"/>
      <c r="E125" s="145"/>
      <c r="F125" s="147"/>
      <c r="G125" s="145"/>
      <c r="H125" s="145"/>
      <c r="I125" s="158"/>
      <c r="J125" s="93">
        <f t="shared" si="19"/>
        <v>0</v>
      </c>
      <c r="K125" s="100">
        <f>'1 Enterprises'!P$14</f>
        <v>32670</v>
      </c>
      <c r="L125" s="95">
        <f t="shared" si="20"/>
        <v>0</v>
      </c>
    </row>
    <row r="126" spans="2:12" ht="12.75">
      <c r="B126" s="31" t="s">
        <v>289</v>
      </c>
      <c r="C126" s="92" t="str">
        <f>'2 Income Statement'!B18</f>
        <v>Container Crop 11</v>
      </c>
      <c r="D126" s="145"/>
      <c r="E126" s="145"/>
      <c r="F126" s="147"/>
      <c r="G126" s="145"/>
      <c r="H126" s="145"/>
      <c r="I126" s="158"/>
      <c r="J126" s="93">
        <f>IF(G126&gt;0,(D126*(F126/G126)),0)</f>
        <v>0</v>
      </c>
      <c r="K126" s="100">
        <f>'1 Enterprises'!Q$14</f>
        <v>14520</v>
      </c>
      <c r="L126" s="95">
        <f>IF(K126&gt;0,((J126/K126)*I126),0)</f>
        <v>0</v>
      </c>
    </row>
    <row r="127" spans="2:12" ht="12.75">
      <c r="B127" s="31" t="s">
        <v>290</v>
      </c>
      <c r="C127" s="92" t="str">
        <f>'2 Income Statement'!B19</f>
        <v>Container Crop 12</v>
      </c>
      <c r="D127" s="145"/>
      <c r="E127" s="145"/>
      <c r="F127" s="147"/>
      <c r="G127" s="145"/>
      <c r="H127" s="145"/>
      <c r="I127" s="158"/>
      <c r="J127" s="93">
        <f aca="true" t="shared" si="21" ref="J127:J137">IF(G127&gt;0,(D127*(F127/G127)),0)</f>
        <v>0</v>
      </c>
      <c r="K127" s="100">
        <f>'1 Enterprises'!R$14</f>
        <v>6453.333333333333</v>
      </c>
      <c r="L127" s="95">
        <f aca="true" t="shared" si="22" ref="L127:L137">IF(K127&gt;0,((J127/K127)*I127),0)</f>
        <v>0</v>
      </c>
    </row>
    <row r="128" spans="2:12" ht="12.75">
      <c r="B128" s="31" t="s">
        <v>291</v>
      </c>
      <c r="C128" s="92" t="str">
        <f>'2 Income Statement'!B20</f>
        <v>Container Crop 13</v>
      </c>
      <c r="D128" s="145"/>
      <c r="E128" s="145"/>
      <c r="F128" s="147"/>
      <c r="G128" s="145"/>
      <c r="H128" s="145"/>
      <c r="I128" s="158"/>
      <c r="J128" s="93">
        <f t="shared" si="21"/>
        <v>0</v>
      </c>
      <c r="K128" s="100">
        <f>'1 Enterprises'!S$14</f>
        <v>32670</v>
      </c>
      <c r="L128" s="95">
        <f t="shared" si="22"/>
        <v>0</v>
      </c>
    </row>
    <row r="129" spans="2:12" ht="12.75">
      <c r="B129" s="31" t="s">
        <v>292</v>
      </c>
      <c r="C129" s="92" t="str">
        <f>'2 Income Statement'!B21</f>
        <v>Container Crop 14</v>
      </c>
      <c r="D129" s="145"/>
      <c r="E129" s="145"/>
      <c r="F129" s="147"/>
      <c r="G129" s="145"/>
      <c r="H129" s="145"/>
      <c r="I129" s="158"/>
      <c r="J129" s="93">
        <f t="shared" si="21"/>
        <v>0</v>
      </c>
      <c r="K129" s="100">
        <f>'1 Enterprises'!T$14</f>
        <v>14520</v>
      </c>
      <c r="L129" s="95">
        <f t="shared" si="22"/>
        <v>0</v>
      </c>
    </row>
    <row r="130" spans="2:12" ht="12.75">
      <c r="B130" s="31" t="s">
        <v>293</v>
      </c>
      <c r="C130" s="92" t="str">
        <f>'2 Income Statement'!B22</f>
        <v>Container Crop 15</v>
      </c>
      <c r="D130" s="145"/>
      <c r="E130" s="145"/>
      <c r="F130" s="147"/>
      <c r="G130" s="145"/>
      <c r="H130" s="145"/>
      <c r="I130" s="158"/>
      <c r="J130" s="93">
        <f t="shared" si="21"/>
        <v>0</v>
      </c>
      <c r="K130" s="100">
        <f>'1 Enterprises'!U$14</f>
        <v>6453.333333333333</v>
      </c>
      <c r="L130" s="95">
        <f t="shared" si="22"/>
        <v>0</v>
      </c>
    </row>
    <row r="131" spans="2:12" ht="12.75">
      <c r="B131" s="31" t="s">
        <v>294</v>
      </c>
      <c r="C131" s="92" t="str">
        <f>'2 Income Statement'!B23</f>
        <v>Container Crop 16</v>
      </c>
      <c r="D131" s="145"/>
      <c r="E131" s="145"/>
      <c r="F131" s="147"/>
      <c r="G131" s="145"/>
      <c r="H131" s="145"/>
      <c r="I131" s="158"/>
      <c r="J131" s="93">
        <f t="shared" si="21"/>
        <v>0</v>
      </c>
      <c r="K131" s="100">
        <f>'1 Enterprises'!V$14</f>
        <v>32670</v>
      </c>
      <c r="L131" s="95">
        <f t="shared" si="22"/>
        <v>0</v>
      </c>
    </row>
    <row r="132" spans="2:12" ht="12.75">
      <c r="B132" s="31" t="s">
        <v>295</v>
      </c>
      <c r="C132" s="92" t="str">
        <f>'2 Income Statement'!B24</f>
        <v>Container Crop 17</v>
      </c>
      <c r="D132" s="145"/>
      <c r="E132" s="145"/>
      <c r="F132" s="147"/>
      <c r="G132" s="145"/>
      <c r="H132" s="145"/>
      <c r="I132" s="158"/>
      <c r="J132" s="93">
        <f t="shared" si="21"/>
        <v>0</v>
      </c>
      <c r="K132" s="100">
        <f>'1 Enterprises'!W$14</f>
        <v>14520</v>
      </c>
      <c r="L132" s="95">
        <f t="shared" si="22"/>
        <v>0</v>
      </c>
    </row>
    <row r="133" spans="2:12" ht="12.75">
      <c r="B133" s="31" t="s">
        <v>296</v>
      </c>
      <c r="C133" s="92" t="str">
        <f>'2 Income Statement'!B25</f>
        <v>Container Crop 18</v>
      </c>
      <c r="D133" s="145"/>
      <c r="E133" s="145"/>
      <c r="F133" s="147"/>
      <c r="G133" s="145"/>
      <c r="H133" s="145"/>
      <c r="I133" s="158"/>
      <c r="J133" s="93">
        <f t="shared" si="21"/>
        <v>0</v>
      </c>
      <c r="K133" s="100">
        <f>'1 Enterprises'!X$14</f>
        <v>6453.333333333333</v>
      </c>
      <c r="L133" s="95">
        <f t="shared" si="22"/>
        <v>0</v>
      </c>
    </row>
    <row r="134" spans="2:12" ht="12.75">
      <c r="B134" s="31" t="s">
        <v>297</v>
      </c>
      <c r="C134" s="92" t="str">
        <f>'2 Income Statement'!B26</f>
        <v>Field Crop 4</v>
      </c>
      <c r="D134" s="145"/>
      <c r="E134" s="145"/>
      <c r="F134" s="147"/>
      <c r="G134" s="145"/>
      <c r="H134" s="145"/>
      <c r="I134" s="158"/>
      <c r="J134" s="93">
        <f t="shared" si="21"/>
        <v>0</v>
      </c>
      <c r="K134" s="100">
        <f>'1 Enterprises'!Y$14</f>
        <v>338.79999999999995</v>
      </c>
      <c r="L134" s="95">
        <f t="shared" si="22"/>
        <v>0</v>
      </c>
    </row>
    <row r="135" spans="2:12" ht="12.75">
      <c r="B135" s="31" t="s">
        <v>298</v>
      </c>
      <c r="C135" s="92" t="str">
        <f>'2 Income Statement'!B27</f>
        <v>Field Crop 5</v>
      </c>
      <c r="D135" s="145"/>
      <c r="E135" s="145"/>
      <c r="F135" s="147"/>
      <c r="G135" s="145"/>
      <c r="H135" s="145"/>
      <c r="I135" s="158"/>
      <c r="J135" s="93">
        <f t="shared" si="21"/>
        <v>0</v>
      </c>
      <c r="K135" s="100">
        <f>'1 Enterprises'!Z$14</f>
        <v>338.79999999999995</v>
      </c>
      <c r="L135" s="95">
        <f t="shared" si="22"/>
        <v>0</v>
      </c>
    </row>
    <row r="136" spans="2:12" ht="12.75">
      <c r="B136" s="31" t="s">
        <v>299</v>
      </c>
      <c r="C136" s="92" t="str">
        <f>'2 Income Statement'!B28</f>
        <v>Field Crop 6</v>
      </c>
      <c r="D136" s="145"/>
      <c r="E136" s="145"/>
      <c r="F136" s="147"/>
      <c r="G136" s="145"/>
      <c r="H136" s="145"/>
      <c r="I136" s="158"/>
      <c r="J136" s="93">
        <f t="shared" si="21"/>
        <v>0</v>
      </c>
      <c r="K136" s="100">
        <f>'1 Enterprises'!AA$14</f>
        <v>338.79999999999995</v>
      </c>
      <c r="L136" s="95">
        <f t="shared" si="22"/>
        <v>0</v>
      </c>
    </row>
    <row r="137" spans="2:12" ht="12.75">
      <c r="B137" s="31" t="s">
        <v>300</v>
      </c>
      <c r="C137" s="92" t="str">
        <f>'2 Income Statement'!B29</f>
        <v>Field Crop 7</v>
      </c>
      <c r="D137" s="145"/>
      <c r="E137" s="145"/>
      <c r="F137" s="147"/>
      <c r="G137" s="145"/>
      <c r="H137" s="145"/>
      <c r="I137" s="158"/>
      <c r="J137" s="93">
        <f t="shared" si="21"/>
        <v>0</v>
      </c>
      <c r="K137" s="100">
        <f>'1 Enterprises'!AB$14</f>
        <v>338.79999999999995</v>
      </c>
      <c r="L137" s="95">
        <f t="shared" si="22"/>
        <v>0</v>
      </c>
    </row>
    <row r="138" spans="3:9" ht="12">
      <c r="C138" s="31"/>
      <c r="I138" s="170"/>
    </row>
    <row r="139" spans="3:12" ht="12.75">
      <c r="C139" s="275" t="s">
        <v>50</v>
      </c>
      <c r="D139" s="276"/>
      <c r="E139" s="276"/>
      <c r="F139" s="276"/>
      <c r="G139" s="276"/>
      <c r="H139" s="276"/>
      <c r="I139" s="276"/>
      <c r="J139" s="276"/>
      <c r="K139" s="276"/>
      <c r="L139" s="277"/>
    </row>
    <row r="140" spans="2:12" ht="12.75">
      <c r="B140" s="31" t="s">
        <v>276</v>
      </c>
      <c r="C140" s="92" t="str">
        <f>'2 Income Statement'!B5</f>
        <v>Container Crop 1</v>
      </c>
      <c r="D140" s="145"/>
      <c r="E140" s="145"/>
      <c r="F140" s="147"/>
      <c r="G140" s="145"/>
      <c r="H140" s="145"/>
      <c r="I140" s="158"/>
      <c r="J140" s="93">
        <f>IF(G140&gt;0,(D140*(F140/G140)),0)</f>
        <v>0</v>
      </c>
      <c r="K140" s="94">
        <f>'1 Enterprises'!D$14</f>
        <v>32670</v>
      </c>
      <c r="L140" s="95">
        <f>IF(K140&gt;0,((J140/K140)*I140),0)</f>
        <v>0</v>
      </c>
    </row>
    <row r="141" spans="2:12" ht="12.75">
      <c r="B141" s="31" t="s">
        <v>277</v>
      </c>
      <c r="C141" s="92" t="str">
        <f>'2 Income Statement'!B6</f>
        <v>Container Crop 2</v>
      </c>
      <c r="D141" s="145"/>
      <c r="E141" s="145"/>
      <c r="F141" s="147"/>
      <c r="G141" s="145"/>
      <c r="H141" s="145"/>
      <c r="I141" s="158"/>
      <c r="J141" s="93">
        <f aca="true" t="shared" si="23" ref="J141:J152">IF(G141&gt;0,(D141*(F141/G141)),0)</f>
        <v>0</v>
      </c>
      <c r="K141" s="99">
        <f>'1 Enterprises'!E$14</f>
        <v>14520</v>
      </c>
      <c r="L141" s="95">
        <f aca="true" t="shared" si="24" ref="L141:L152">IF(K141&gt;0,((J141/K141)*I141),0)</f>
        <v>0</v>
      </c>
    </row>
    <row r="142" spans="2:12" ht="12.75">
      <c r="B142" s="31" t="s">
        <v>278</v>
      </c>
      <c r="C142" s="92" t="str">
        <f>'2 Income Statement'!B7</f>
        <v>Container Crop 3</v>
      </c>
      <c r="D142" s="145"/>
      <c r="E142" s="145"/>
      <c r="F142" s="147"/>
      <c r="G142" s="145"/>
      <c r="H142" s="145"/>
      <c r="I142" s="158"/>
      <c r="J142" s="93">
        <f t="shared" si="23"/>
        <v>0</v>
      </c>
      <c r="K142" s="99">
        <f>'1 Enterprises'!F$14</f>
        <v>6453.333333333333</v>
      </c>
      <c r="L142" s="95">
        <f t="shared" si="24"/>
        <v>0</v>
      </c>
    </row>
    <row r="143" spans="2:12" ht="12.75">
      <c r="B143" s="31" t="s">
        <v>279</v>
      </c>
      <c r="C143" s="92" t="str">
        <f>'2 Income Statement'!B8</f>
        <v>Container Crop 4</v>
      </c>
      <c r="D143" s="145"/>
      <c r="E143" s="145"/>
      <c r="F143" s="147"/>
      <c r="G143" s="145"/>
      <c r="H143" s="145"/>
      <c r="I143" s="158"/>
      <c r="J143" s="93">
        <f t="shared" si="23"/>
        <v>0</v>
      </c>
      <c r="K143" s="99">
        <f>'1 Enterprises'!G$14</f>
        <v>32670</v>
      </c>
      <c r="L143" s="95">
        <f t="shared" si="24"/>
        <v>0</v>
      </c>
    </row>
    <row r="144" spans="2:12" ht="12.75">
      <c r="B144" s="31" t="s">
        <v>280</v>
      </c>
      <c r="C144" s="92" t="str">
        <f>'2 Income Statement'!B9</f>
        <v>Container Crop 5</v>
      </c>
      <c r="D144" s="145"/>
      <c r="E144" s="145"/>
      <c r="F144" s="147"/>
      <c r="G144" s="145"/>
      <c r="H144" s="145"/>
      <c r="I144" s="158"/>
      <c r="J144" s="93">
        <f t="shared" si="23"/>
        <v>0</v>
      </c>
      <c r="K144" s="99">
        <f>'1 Enterprises'!H$14</f>
        <v>14520</v>
      </c>
      <c r="L144" s="95">
        <f t="shared" si="24"/>
        <v>0</v>
      </c>
    </row>
    <row r="145" spans="2:12" ht="12.75">
      <c r="B145" s="31" t="s">
        <v>281</v>
      </c>
      <c r="C145" s="92" t="str">
        <f>'2 Income Statement'!B10</f>
        <v>Container Crop 6</v>
      </c>
      <c r="D145" s="145"/>
      <c r="E145" s="145"/>
      <c r="F145" s="147"/>
      <c r="G145" s="145"/>
      <c r="H145" s="145"/>
      <c r="I145" s="158"/>
      <c r="J145" s="93">
        <f t="shared" si="23"/>
        <v>0</v>
      </c>
      <c r="K145" s="99">
        <f>'1 Enterprises'!I$14</f>
        <v>6453.333333333333</v>
      </c>
      <c r="L145" s="95">
        <f t="shared" si="24"/>
        <v>0</v>
      </c>
    </row>
    <row r="146" spans="2:12" ht="12.75">
      <c r="B146" s="31" t="s">
        <v>282</v>
      </c>
      <c r="C146" s="92" t="str">
        <f>'2 Income Statement'!B11</f>
        <v>Container Crop 7</v>
      </c>
      <c r="D146" s="145"/>
      <c r="E146" s="145"/>
      <c r="F146" s="147"/>
      <c r="G146" s="145"/>
      <c r="H146" s="145"/>
      <c r="I146" s="158"/>
      <c r="J146" s="93">
        <f t="shared" si="23"/>
        <v>0</v>
      </c>
      <c r="K146" s="99">
        <f>'1 Enterprises'!J$14</f>
        <v>32670</v>
      </c>
      <c r="L146" s="95">
        <f t="shared" si="24"/>
        <v>0</v>
      </c>
    </row>
    <row r="147" spans="2:12" ht="12.75">
      <c r="B147" s="31" t="s">
        <v>283</v>
      </c>
      <c r="C147" s="92" t="str">
        <f>'2 Income Statement'!B12</f>
        <v>Container Crop 8</v>
      </c>
      <c r="D147" s="145"/>
      <c r="E147" s="145"/>
      <c r="F147" s="147"/>
      <c r="G147" s="145"/>
      <c r="H147" s="145"/>
      <c r="I147" s="158"/>
      <c r="J147" s="93">
        <f t="shared" si="23"/>
        <v>0</v>
      </c>
      <c r="K147" s="100">
        <f>'1 Enterprises'!K$14</f>
        <v>14520</v>
      </c>
      <c r="L147" s="95">
        <f t="shared" si="24"/>
        <v>0</v>
      </c>
    </row>
    <row r="148" spans="2:12" ht="12.75">
      <c r="B148" s="31" t="s">
        <v>284</v>
      </c>
      <c r="C148" s="92" t="str">
        <f>'2 Income Statement'!B13</f>
        <v>Container Crop 9</v>
      </c>
      <c r="D148" s="145"/>
      <c r="E148" s="145"/>
      <c r="F148" s="147"/>
      <c r="G148" s="145"/>
      <c r="H148" s="145"/>
      <c r="I148" s="158"/>
      <c r="J148" s="93">
        <f t="shared" si="23"/>
        <v>0</v>
      </c>
      <c r="K148" s="100">
        <f>'1 Enterprises'!L$14</f>
        <v>6453.333333333333</v>
      </c>
      <c r="L148" s="95">
        <f t="shared" si="24"/>
        <v>0</v>
      </c>
    </row>
    <row r="149" spans="2:12" ht="12.75">
      <c r="B149" s="31" t="s">
        <v>285</v>
      </c>
      <c r="C149" s="92" t="str">
        <f>'2 Income Statement'!B14</f>
        <v>Field Crop 1</v>
      </c>
      <c r="D149" s="145"/>
      <c r="E149" s="145"/>
      <c r="F149" s="147"/>
      <c r="G149" s="145"/>
      <c r="H149" s="145"/>
      <c r="I149" s="158"/>
      <c r="J149" s="93">
        <f t="shared" si="23"/>
        <v>0</v>
      </c>
      <c r="K149" s="100">
        <f>'1 Enterprises'!M$14</f>
        <v>338.79999999999995</v>
      </c>
      <c r="L149" s="95">
        <f t="shared" si="24"/>
        <v>0</v>
      </c>
    </row>
    <row r="150" spans="2:12" ht="12.75">
      <c r="B150" s="31" t="s">
        <v>286</v>
      </c>
      <c r="C150" s="92" t="str">
        <f>'2 Income Statement'!B15</f>
        <v>Field Crop 2</v>
      </c>
      <c r="D150" s="145"/>
      <c r="E150" s="145"/>
      <c r="F150" s="147"/>
      <c r="G150" s="145"/>
      <c r="H150" s="145"/>
      <c r="I150" s="158"/>
      <c r="J150" s="93">
        <f t="shared" si="23"/>
        <v>0</v>
      </c>
      <c r="K150" s="100">
        <f>'1 Enterprises'!N$14</f>
        <v>338.79999999999995</v>
      </c>
      <c r="L150" s="95">
        <f t="shared" si="24"/>
        <v>0</v>
      </c>
    </row>
    <row r="151" spans="2:12" ht="12.75">
      <c r="B151" s="31" t="s">
        <v>287</v>
      </c>
      <c r="C151" s="92" t="str">
        <f>'2 Income Statement'!B16</f>
        <v>Field Crop 3</v>
      </c>
      <c r="D151" s="145"/>
      <c r="E151" s="145"/>
      <c r="F151" s="147"/>
      <c r="G151" s="145"/>
      <c r="H151" s="145"/>
      <c r="I151" s="158"/>
      <c r="J151" s="93">
        <f t="shared" si="23"/>
        <v>0</v>
      </c>
      <c r="K151" s="100">
        <f>'1 Enterprises'!O$14</f>
        <v>338.79999999999995</v>
      </c>
      <c r="L151" s="95">
        <f t="shared" si="24"/>
        <v>0</v>
      </c>
    </row>
    <row r="152" spans="2:12" ht="12.75">
      <c r="B152" s="31" t="s">
        <v>288</v>
      </c>
      <c r="C152" s="92" t="str">
        <f>'2 Income Statement'!B17</f>
        <v>Container Crop 10</v>
      </c>
      <c r="D152" s="145"/>
      <c r="E152" s="145"/>
      <c r="F152" s="147"/>
      <c r="G152" s="145"/>
      <c r="H152" s="145"/>
      <c r="I152" s="158"/>
      <c r="J152" s="93">
        <f t="shared" si="23"/>
        <v>0</v>
      </c>
      <c r="K152" s="100">
        <f>'1 Enterprises'!P$14</f>
        <v>32670</v>
      </c>
      <c r="L152" s="95">
        <f t="shared" si="24"/>
        <v>0</v>
      </c>
    </row>
    <row r="153" spans="2:12" ht="12.75">
      <c r="B153" s="31" t="s">
        <v>289</v>
      </c>
      <c r="C153" s="92" t="str">
        <f>'2 Income Statement'!B18</f>
        <v>Container Crop 11</v>
      </c>
      <c r="D153" s="145"/>
      <c r="E153" s="145"/>
      <c r="F153" s="147"/>
      <c r="G153" s="145"/>
      <c r="H153" s="145"/>
      <c r="I153" s="158"/>
      <c r="J153" s="93">
        <f>IF(G153&gt;0,(D153*(F153/G153)),0)</f>
        <v>0</v>
      </c>
      <c r="K153" s="100">
        <f>'1 Enterprises'!Q$14</f>
        <v>14520</v>
      </c>
      <c r="L153" s="95">
        <f>IF(K153&gt;0,((J153/K153)*I153),0)</f>
        <v>0</v>
      </c>
    </row>
    <row r="154" spans="2:12" ht="12.75">
      <c r="B154" s="31" t="s">
        <v>290</v>
      </c>
      <c r="C154" s="92" t="str">
        <f>'2 Income Statement'!B19</f>
        <v>Container Crop 12</v>
      </c>
      <c r="D154" s="145"/>
      <c r="E154" s="145"/>
      <c r="F154" s="147"/>
      <c r="G154" s="145"/>
      <c r="H154" s="145"/>
      <c r="I154" s="158"/>
      <c r="J154" s="93">
        <f aca="true" t="shared" si="25" ref="J154:J164">IF(G154&gt;0,(D154*(F154/G154)),0)</f>
        <v>0</v>
      </c>
      <c r="K154" s="100">
        <f>'1 Enterprises'!R$14</f>
        <v>6453.333333333333</v>
      </c>
      <c r="L154" s="95">
        <f aca="true" t="shared" si="26" ref="L154:L164">IF(K154&gt;0,((J154/K154)*I154),0)</f>
        <v>0</v>
      </c>
    </row>
    <row r="155" spans="2:12" ht="12.75">
      <c r="B155" s="31" t="s">
        <v>291</v>
      </c>
      <c r="C155" s="92" t="str">
        <f>'2 Income Statement'!B20</f>
        <v>Container Crop 13</v>
      </c>
      <c r="D155" s="145"/>
      <c r="E155" s="145"/>
      <c r="F155" s="147"/>
      <c r="G155" s="145"/>
      <c r="H155" s="145"/>
      <c r="I155" s="158"/>
      <c r="J155" s="93">
        <f t="shared" si="25"/>
        <v>0</v>
      </c>
      <c r="K155" s="100">
        <f>'1 Enterprises'!S$14</f>
        <v>32670</v>
      </c>
      <c r="L155" s="95">
        <f t="shared" si="26"/>
        <v>0</v>
      </c>
    </row>
    <row r="156" spans="2:12" ht="12.75">
      <c r="B156" s="31" t="s">
        <v>292</v>
      </c>
      <c r="C156" s="92" t="str">
        <f>'2 Income Statement'!B21</f>
        <v>Container Crop 14</v>
      </c>
      <c r="D156" s="145"/>
      <c r="E156" s="145"/>
      <c r="F156" s="147"/>
      <c r="G156" s="145"/>
      <c r="H156" s="145"/>
      <c r="I156" s="158"/>
      <c r="J156" s="93">
        <f t="shared" si="25"/>
        <v>0</v>
      </c>
      <c r="K156" s="100">
        <f>'1 Enterprises'!T$14</f>
        <v>14520</v>
      </c>
      <c r="L156" s="95">
        <f t="shared" si="26"/>
        <v>0</v>
      </c>
    </row>
    <row r="157" spans="2:12" ht="12.75">
      <c r="B157" s="31" t="s">
        <v>293</v>
      </c>
      <c r="C157" s="92" t="str">
        <f>'2 Income Statement'!B22</f>
        <v>Container Crop 15</v>
      </c>
      <c r="D157" s="145"/>
      <c r="E157" s="145"/>
      <c r="F157" s="147"/>
      <c r="G157" s="145"/>
      <c r="H157" s="145"/>
      <c r="I157" s="158"/>
      <c r="J157" s="93">
        <f t="shared" si="25"/>
        <v>0</v>
      </c>
      <c r="K157" s="100">
        <f>'1 Enterprises'!U$14</f>
        <v>6453.333333333333</v>
      </c>
      <c r="L157" s="95">
        <f t="shared" si="26"/>
        <v>0</v>
      </c>
    </row>
    <row r="158" spans="2:12" ht="12.75">
      <c r="B158" s="31" t="s">
        <v>294</v>
      </c>
      <c r="C158" s="92" t="str">
        <f>'2 Income Statement'!B23</f>
        <v>Container Crop 16</v>
      </c>
      <c r="D158" s="145"/>
      <c r="E158" s="145"/>
      <c r="F158" s="147"/>
      <c r="G158" s="145"/>
      <c r="H158" s="145"/>
      <c r="I158" s="158"/>
      <c r="J158" s="93">
        <f t="shared" si="25"/>
        <v>0</v>
      </c>
      <c r="K158" s="100">
        <f>'1 Enterprises'!V$14</f>
        <v>32670</v>
      </c>
      <c r="L158" s="95">
        <f t="shared" si="26"/>
        <v>0</v>
      </c>
    </row>
    <row r="159" spans="2:12" ht="12.75">
      <c r="B159" s="31" t="s">
        <v>295</v>
      </c>
      <c r="C159" s="92" t="str">
        <f>'2 Income Statement'!B24</f>
        <v>Container Crop 17</v>
      </c>
      <c r="D159" s="145"/>
      <c r="E159" s="145"/>
      <c r="F159" s="147"/>
      <c r="G159" s="145"/>
      <c r="H159" s="145"/>
      <c r="I159" s="158"/>
      <c r="J159" s="93">
        <f t="shared" si="25"/>
        <v>0</v>
      </c>
      <c r="K159" s="100">
        <f>'1 Enterprises'!W$14</f>
        <v>14520</v>
      </c>
      <c r="L159" s="95">
        <f t="shared" si="26"/>
        <v>0</v>
      </c>
    </row>
    <row r="160" spans="2:12" ht="12.75">
      <c r="B160" s="31" t="s">
        <v>296</v>
      </c>
      <c r="C160" s="92" t="str">
        <f>'2 Income Statement'!B25</f>
        <v>Container Crop 18</v>
      </c>
      <c r="D160" s="145"/>
      <c r="E160" s="145"/>
      <c r="F160" s="147"/>
      <c r="G160" s="145"/>
      <c r="H160" s="145"/>
      <c r="I160" s="158"/>
      <c r="J160" s="93">
        <f t="shared" si="25"/>
        <v>0</v>
      </c>
      <c r="K160" s="100">
        <f>'1 Enterprises'!X$14</f>
        <v>6453.333333333333</v>
      </c>
      <c r="L160" s="95">
        <f t="shared" si="26"/>
        <v>0</v>
      </c>
    </row>
    <row r="161" spans="2:12" ht="12.75">
      <c r="B161" s="31" t="s">
        <v>297</v>
      </c>
      <c r="C161" s="92" t="str">
        <f>'2 Income Statement'!B26</f>
        <v>Field Crop 4</v>
      </c>
      <c r="D161" s="145"/>
      <c r="E161" s="145"/>
      <c r="F161" s="147"/>
      <c r="G161" s="145"/>
      <c r="H161" s="145"/>
      <c r="I161" s="158"/>
      <c r="J161" s="93">
        <f t="shared" si="25"/>
        <v>0</v>
      </c>
      <c r="K161" s="100">
        <f>'1 Enterprises'!Y$14</f>
        <v>338.79999999999995</v>
      </c>
      <c r="L161" s="95">
        <f t="shared" si="26"/>
        <v>0</v>
      </c>
    </row>
    <row r="162" spans="2:12" ht="12.75">
      <c r="B162" s="31" t="s">
        <v>298</v>
      </c>
      <c r="C162" s="92" t="str">
        <f>'2 Income Statement'!B27</f>
        <v>Field Crop 5</v>
      </c>
      <c r="D162" s="145"/>
      <c r="E162" s="145"/>
      <c r="F162" s="147"/>
      <c r="G162" s="145"/>
      <c r="H162" s="145"/>
      <c r="I162" s="158"/>
      <c r="J162" s="93">
        <f t="shared" si="25"/>
        <v>0</v>
      </c>
      <c r="K162" s="100">
        <f>'1 Enterprises'!Z$14</f>
        <v>338.79999999999995</v>
      </c>
      <c r="L162" s="95">
        <f t="shared" si="26"/>
        <v>0</v>
      </c>
    </row>
    <row r="163" spans="2:12" ht="12.75">
      <c r="B163" s="31" t="s">
        <v>299</v>
      </c>
      <c r="C163" s="92" t="str">
        <f>'2 Income Statement'!B28</f>
        <v>Field Crop 6</v>
      </c>
      <c r="D163" s="145"/>
      <c r="E163" s="145"/>
      <c r="F163" s="147"/>
      <c r="G163" s="145"/>
      <c r="H163" s="145"/>
      <c r="I163" s="158"/>
      <c r="J163" s="93">
        <f t="shared" si="25"/>
        <v>0</v>
      </c>
      <c r="K163" s="100">
        <f>'1 Enterprises'!AA$14</f>
        <v>338.79999999999995</v>
      </c>
      <c r="L163" s="95">
        <f t="shared" si="26"/>
        <v>0</v>
      </c>
    </row>
    <row r="164" spans="2:12" ht="12.75">
      <c r="B164" s="31" t="s">
        <v>300</v>
      </c>
      <c r="C164" s="92" t="str">
        <f>'2 Income Statement'!B29</f>
        <v>Field Crop 7</v>
      </c>
      <c r="D164" s="145"/>
      <c r="E164" s="145"/>
      <c r="F164" s="147"/>
      <c r="G164" s="145"/>
      <c r="H164" s="145"/>
      <c r="I164" s="158"/>
      <c r="J164" s="93">
        <f t="shared" si="25"/>
        <v>0</v>
      </c>
      <c r="K164" s="100">
        <f>'1 Enterprises'!AB$14</f>
        <v>338.79999999999995</v>
      </c>
      <c r="L164" s="95">
        <f t="shared" si="26"/>
        <v>0</v>
      </c>
    </row>
    <row r="165" ht="12">
      <c r="C165" s="31"/>
    </row>
    <row r="166" spans="3:12" ht="12.75">
      <c r="C166" s="275" t="s">
        <v>51</v>
      </c>
      <c r="D166" s="276"/>
      <c r="E166" s="276"/>
      <c r="F166" s="276"/>
      <c r="G166" s="276"/>
      <c r="H166" s="276"/>
      <c r="I166" s="276"/>
      <c r="J166" s="276"/>
      <c r="K166" s="276"/>
      <c r="L166" s="277"/>
    </row>
    <row r="167" spans="2:12" ht="12.75">
      <c r="B167" s="31" t="s">
        <v>276</v>
      </c>
      <c r="C167" s="92" t="str">
        <f>'2 Income Statement'!B5</f>
        <v>Container Crop 1</v>
      </c>
      <c r="D167" s="145"/>
      <c r="E167" s="145"/>
      <c r="F167" s="147"/>
      <c r="G167" s="145"/>
      <c r="H167" s="145"/>
      <c r="I167" s="158"/>
      <c r="J167" s="93">
        <f>IF(G167&gt;0,(D167*(F167/G167)),0)</f>
        <v>0</v>
      </c>
      <c r="K167" s="94">
        <f>'1 Enterprises'!D$14</f>
        <v>32670</v>
      </c>
      <c r="L167" s="95">
        <f>IF(K167&gt;0,((J167/K167)*I167),0)</f>
        <v>0</v>
      </c>
    </row>
    <row r="168" spans="2:12" ht="12.75">
      <c r="B168" s="31" t="s">
        <v>277</v>
      </c>
      <c r="C168" s="92" t="str">
        <f>'2 Income Statement'!B6</f>
        <v>Container Crop 2</v>
      </c>
      <c r="D168" s="145"/>
      <c r="E168" s="145"/>
      <c r="F168" s="147"/>
      <c r="G168" s="145"/>
      <c r="H168" s="145"/>
      <c r="I168" s="158"/>
      <c r="J168" s="93">
        <f aca="true" t="shared" si="27" ref="J168:J179">IF(G168&gt;0,(D168*(F168/G168)),0)</f>
        <v>0</v>
      </c>
      <c r="K168" s="99">
        <f>'1 Enterprises'!E$14</f>
        <v>14520</v>
      </c>
      <c r="L168" s="95">
        <f aca="true" t="shared" si="28" ref="L168:L179">IF(K168&gt;0,((J168/K168)*I168),0)</f>
        <v>0</v>
      </c>
    </row>
    <row r="169" spans="2:12" ht="12.75">
      <c r="B169" s="31" t="s">
        <v>278</v>
      </c>
      <c r="C169" s="92" t="str">
        <f>'2 Income Statement'!B7</f>
        <v>Container Crop 3</v>
      </c>
      <c r="D169" s="145"/>
      <c r="E169" s="145"/>
      <c r="F169" s="147"/>
      <c r="G169" s="145"/>
      <c r="H169" s="145"/>
      <c r="I169" s="158"/>
      <c r="J169" s="93">
        <f t="shared" si="27"/>
        <v>0</v>
      </c>
      <c r="K169" s="99">
        <f>'1 Enterprises'!F$14</f>
        <v>6453.333333333333</v>
      </c>
      <c r="L169" s="95">
        <f t="shared" si="28"/>
        <v>0</v>
      </c>
    </row>
    <row r="170" spans="2:12" ht="12.75">
      <c r="B170" s="31" t="s">
        <v>279</v>
      </c>
      <c r="C170" s="92" t="str">
        <f>'2 Income Statement'!B8</f>
        <v>Container Crop 4</v>
      </c>
      <c r="D170" s="145"/>
      <c r="E170" s="145"/>
      <c r="F170" s="147"/>
      <c r="G170" s="145"/>
      <c r="H170" s="145"/>
      <c r="I170" s="158"/>
      <c r="J170" s="93">
        <f t="shared" si="27"/>
        <v>0</v>
      </c>
      <c r="K170" s="99">
        <f>'1 Enterprises'!G$14</f>
        <v>32670</v>
      </c>
      <c r="L170" s="95">
        <f t="shared" si="28"/>
        <v>0</v>
      </c>
    </row>
    <row r="171" spans="2:12" ht="12.75">
      <c r="B171" s="31" t="s">
        <v>280</v>
      </c>
      <c r="C171" s="92" t="str">
        <f>'2 Income Statement'!B9</f>
        <v>Container Crop 5</v>
      </c>
      <c r="D171" s="145"/>
      <c r="E171" s="145"/>
      <c r="F171" s="147"/>
      <c r="G171" s="145"/>
      <c r="H171" s="145"/>
      <c r="I171" s="158"/>
      <c r="J171" s="93">
        <f t="shared" si="27"/>
        <v>0</v>
      </c>
      <c r="K171" s="99">
        <f>'1 Enterprises'!H$14</f>
        <v>14520</v>
      </c>
      <c r="L171" s="95">
        <f t="shared" si="28"/>
        <v>0</v>
      </c>
    </row>
    <row r="172" spans="2:12" ht="12.75">
      <c r="B172" s="31" t="s">
        <v>281</v>
      </c>
      <c r="C172" s="92" t="str">
        <f>'2 Income Statement'!B10</f>
        <v>Container Crop 6</v>
      </c>
      <c r="D172" s="145"/>
      <c r="E172" s="145"/>
      <c r="F172" s="147"/>
      <c r="G172" s="145"/>
      <c r="H172" s="145"/>
      <c r="I172" s="158"/>
      <c r="J172" s="93">
        <f t="shared" si="27"/>
        <v>0</v>
      </c>
      <c r="K172" s="99">
        <f>'1 Enterprises'!I$14</f>
        <v>6453.333333333333</v>
      </c>
      <c r="L172" s="95">
        <f t="shared" si="28"/>
        <v>0</v>
      </c>
    </row>
    <row r="173" spans="2:12" ht="12.75">
      <c r="B173" s="31" t="s">
        <v>282</v>
      </c>
      <c r="C173" s="92" t="str">
        <f>'2 Income Statement'!B11</f>
        <v>Container Crop 7</v>
      </c>
      <c r="D173" s="145"/>
      <c r="E173" s="145"/>
      <c r="F173" s="147"/>
      <c r="G173" s="145"/>
      <c r="H173" s="145"/>
      <c r="I173" s="158"/>
      <c r="J173" s="93">
        <f t="shared" si="27"/>
        <v>0</v>
      </c>
      <c r="K173" s="99">
        <f>'1 Enterprises'!J$14</f>
        <v>32670</v>
      </c>
      <c r="L173" s="95">
        <f t="shared" si="28"/>
        <v>0</v>
      </c>
    </row>
    <row r="174" spans="2:12" ht="12.75">
      <c r="B174" s="31" t="s">
        <v>283</v>
      </c>
      <c r="C174" s="92" t="str">
        <f>'2 Income Statement'!B12</f>
        <v>Container Crop 8</v>
      </c>
      <c r="D174" s="145"/>
      <c r="E174" s="145"/>
      <c r="F174" s="147"/>
      <c r="G174" s="145"/>
      <c r="H174" s="145"/>
      <c r="I174" s="158"/>
      <c r="J174" s="93">
        <f t="shared" si="27"/>
        <v>0</v>
      </c>
      <c r="K174" s="100">
        <f>'1 Enterprises'!K$14</f>
        <v>14520</v>
      </c>
      <c r="L174" s="95">
        <f t="shared" si="28"/>
        <v>0</v>
      </c>
    </row>
    <row r="175" spans="2:12" ht="12.75">
      <c r="B175" s="31" t="s">
        <v>284</v>
      </c>
      <c r="C175" s="92" t="str">
        <f>'2 Income Statement'!B13</f>
        <v>Container Crop 9</v>
      </c>
      <c r="D175" s="145"/>
      <c r="E175" s="145"/>
      <c r="F175" s="147"/>
      <c r="G175" s="145"/>
      <c r="H175" s="145"/>
      <c r="I175" s="158"/>
      <c r="J175" s="93">
        <f t="shared" si="27"/>
        <v>0</v>
      </c>
      <c r="K175" s="100">
        <f>'1 Enterprises'!L$14</f>
        <v>6453.333333333333</v>
      </c>
      <c r="L175" s="95">
        <f t="shared" si="28"/>
        <v>0</v>
      </c>
    </row>
    <row r="176" spans="2:12" ht="12.75">
      <c r="B176" s="31" t="s">
        <v>285</v>
      </c>
      <c r="C176" s="92" t="str">
        <f>'2 Income Statement'!B14</f>
        <v>Field Crop 1</v>
      </c>
      <c r="D176" s="145"/>
      <c r="E176" s="145"/>
      <c r="F176" s="147"/>
      <c r="G176" s="145"/>
      <c r="H176" s="145"/>
      <c r="I176" s="158"/>
      <c r="J176" s="93">
        <f t="shared" si="27"/>
        <v>0</v>
      </c>
      <c r="K176" s="100">
        <f>'1 Enterprises'!M$14</f>
        <v>338.79999999999995</v>
      </c>
      <c r="L176" s="95">
        <f t="shared" si="28"/>
        <v>0</v>
      </c>
    </row>
    <row r="177" spans="2:12" ht="12.75">
      <c r="B177" s="31" t="s">
        <v>286</v>
      </c>
      <c r="C177" s="92" t="str">
        <f>'2 Income Statement'!B15</f>
        <v>Field Crop 2</v>
      </c>
      <c r="D177" s="145"/>
      <c r="E177" s="145"/>
      <c r="F177" s="147"/>
      <c r="G177" s="145"/>
      <c r="H177" s="145"/>
      <c r="I177" s="158"/>
      <c r="J177" s="93">
        <f t="shared" si="27"/>
        <v>0</v>
      </c>
      <c r="K177" s="100">
        <f>'1 Enterprises'!N$14</f>
        <v>338.79999999999995</v>
      </c>
      <c r="L177" s="95">
        <f t="shared" si="28"/>
        <v>0</v>
      </c>
    </row>
    <row r="178" spans="2:12" ht="12.75">
      <c r="B178" s="31" t="s">
        <v>287</v>
      </c>
      <c r="C178" s="92" t="str">
        <f>'2 Income Statement'!B16</f>
        <v>Field Crop 3</v>
      </c>
      <c r="D178" s="145"/>
      <c r="E178" s="145"/>
      <c r="F178" s="147"/>
      <c r="G178" s="145"/>
      <c r="H178" s="145"/>
      <c r="I178" s="158"/>
      <c r="J178" s="93">
        <f t="shared" si="27"/>
        <v>0</v>
      </c>
      <c r="K178" s="100">
        <f>'1 Enterprises'!O$14</f>
        <v>338.79999999999995</v>
      </c>
      <c r="L178" s="95">
        <f t="shared" si="28"/>
        <v>0</v>
      </c>
    </row>
    <row r="179" spans="2:12" ht="12.75">
      <c r="B179" s="31" t="s">
        <v>288</v>
      </c>
      <c r="C179" s="92" t="str">
        <f>'2 Income Statement'!B17</f>
        <v>Container Crop 10</v>
      </c>
      <c r="D179" s="145"/>
      <c r="E179" s="145"/>
      <c r="F179" s="147"/>
      <c r="G179" s="145"/>
      <c r="H179" s="145"/>
      <c r="I179" s="158"/>
      <c r="J179" s="93">
        <f t="shared" si="27"/>
        <v>0</v>
      </c>
      <c r="K179" s="100">
        <f>'1 Enterprises'!P$14</f>
        <v>32670</v>
      </c>
      <c r="L179" s="95">
        <f t="shared" si="28"/>
        <v>0</v>
      </c>
    </row>
    <row r="180" spans="2:12" ht="12.75">
      <c r="B180" s="31" t="s">
        <v>289</v>
      </c>
      <c r="C180" s="92" t="str">
        <f>'2 Income Statement'!B18</f>
        <v>Container Crop 11</v>
      </c>
      <c r="D180" s="145"/>
      <c r="E180" s="145"/>
      <c r="F180" s="147"/>
      <c r="G180" s="145"/>
      <c r="H180" s="145"/>
      <c r="I180" s="158"/>
      <c r="J180" s="93">
        <f>IF(G180&gt;0,(D180*(F180/G180)),0)</f>
        <v>0</v>
      </c>
      <c r="K180" s="100">
        <f>'1 Enterprises'!Q$14</f>
        <v>14520</v>
      </c>
      <c r="L180" s="95">
        <f>IF(K180&gt;0,((J180/K180)*I180),0)</f>
        <v>0</v>
      </c>
    </row>
    <row r="181" spans="2:12" ht="12.75">
      <c r="B181" s="31" t="s">
        <v>290</v>
      </c>
      <c r="C181" s="92" t="str">
        <f>'2 Income Statement'!B19</f>
        <v>Container Crop 12</v>
      </c>
      <c r="D181" s="145"/>
      <c r="E181" s="145"/>
      <c r="F181" s="147"/>
      <c r="G181" s="145"/>
      <c r="H181" s="145"/>
      <c r="I181" s="158"/>
      <c r="J181" s="93">
        <f aca="true" t="shared" si="29" ref="J181:J191">IF(G181&gt;0,(D181*(F181/G181)),0)</f>
        <v>0</v>
      </c>
      <c r="K181" s="100">
        <f>'1 Enterprises'!R$14</f>
        <v>6453.333333333333</v>
      </c>
      <c r="L181" s="95">
        <f aca="true" t="shared" si="30" ref="L181:L191">IF(K181&gt;0,((J181/K181)*I181),0)</f>
        <v>0</v>
      </c>
    </row>
    <row r="182" spans="2:12" ht="12.75">
      <c r="B182" s="31" t="s">
        <v>291</v>
      </c>
      <c r="C182" s="92" t="str">
        <f>'2 Income Statement'!B20</f>
        <v>Container Crop 13</v>
      </c>
      <c r="D182" s="145"/>
      <c r="E182" s="145"/>
      <c r="F182" s="147"/>
      <c r="G182" s="145"/>
      <c r="H182" s="145"/>
      <c r="I182" s="158"/>
      <c r="J182" s="93">
        <f t="shared" si="29"/>
        <v>0</v>
      </c>
      <c r="K182" s="100">
        <f>'1 Enterprises'!S$14</f>
        <v>32670</v>
      </c>
      <c r="L182" s="95">
        <f t="shared" si="30"/>
        <v>0</v>
      </c>
    </row>
    <row r="183" spans="2:12" ht="12.75">
      <c r="B183" s="31" t="s">
        <v>292</v>
      </c>
      <c r="C183" s="92" t="str">
        <f>'2 Income Statement'!B21</f>
        <v>Container Crop 14</v>
      </c>
      <c r="D183" s="145"/>
      <c r="E183" s="145"/>
      <c r="F183" s="147"/>
      <c r="G183" s="145"/>
      <c r="H183" s="145"/>
      <c r="I183" s="158"/>
      <c r="J183" s="93">
        <f t="shared" si="29"/>
        <v>0</v>
      </c>
      <c r="K183" s="100">
        <f>'1 Enterprises'!T$14</f>
        <v>14520</v>
      </c>
      <c r="L183" s="95">
        <f t="shared" si="30"/>
        <v>0</v>
      </c>
    </row>
    <row r="184" spans="2:12" ht="12.75">
      <c r="B184" s="31" t="s">
        <v>293</v>
      </c>
      <c r="C184" s="92" t="str">
        <f>'2 Income Statement'!B22</f>
        <v>Container Crop 15</v>
      </c>
      <c r="D184" s="145"/>
      <c r="E184" s="145"/>
      <c r="F184" s="147"/>
      <c r="G184" s="145"/>
      <c r="H184" s="145"/>
      <c r="I184" s="158"/>
      <c r="J184" s="93">
        <f t="shared" si="29"/>
        <v>0</v>
      </c>
      <c r="K184" s="100">
        <f>'1 Enterprises'!U$14</f>
        <v>6453.333333333333</v>
      </c>
      <c r="L184" s="95">
        <f t="shared" si="30"/>
        <v>0</v>
      </c>
    </row>
    <row r="185" spans="2:12" ht="12.75">
      <c r="B185" s="31" t="s">
        <v>294</v>
      </c>
      <c r="C185" s="92" t="str">
        <f>'2 Income Statement'!B23</f>
        <v>Container Crop 16</v>
      </c>
      <c r="D185" s="145"/>
      <c r="E185" s="145"/>
      <c r="F185" s="147"/>
      <c r="G185" s="145"/>
      <c r="H185" s="145"/>
      <c r="I185" s="158"/>
      <c r="J185" s="93">
        <f t="shared" si="29"/>
        <v>0</v>
      </c>
      <c r="K185" s="100">
        <f>'1 Enterprises'!V$14</f>
        <v>32670</v>
      </c>
      <c r="L185" s="95">
        <f t="shared" si="30"/>
        <v>0</v>
      </c>
    </row>
    <row r="186" spans="2:12" ht="12.75">
      <c r="B186" s="31" t="s">
        <v>295</v>
      </c>
      <c r="C186" s="92" t="str">
        <f>'2 Income Statement'!B24</f>
        <v>Container Crop 17</v>
      </c>
      <c r="D186" s="145"/>
      <c r="E186" s="145"/>
      <c r="F186" s="147"/>
      <c r="G186" s="145"/>
      <c r="H186" s="145"/>
      <c r="I186" s="158"/>
      <c r="J186" s="93">
        <f t="shared" si="29"/>
        <v>0</v>
      </c>
      <c r="K186" s="100">
        <f>'1 Enterprises'!W$14</f>
        <v>14520</v>
      </c>
      <c r="L186" s="95">
        <f t="shared" si="30"/>
        <v>0</v>
      </c>
    </row>
    <row r="187" spans="2:12" ht="12.75">
      <c r="B187" s="31" t="s">
        <v>296</v>
      </c>
      <c r="C187" s="92" t="str">
        <f>'2 Income Statement'!B25</f>
        <v>Container Crop 18</v>
      </c>
      <c r="D187" s="145"/>
      <c r="E187" s="145"/>
      <c r="F187" s="147"/>
      <c r="G187" s="145"/>
      <c r="H187" s="145"/>
      <c r="I187" s="158"/>
      <c r="J187" s="93">
        <f t="shared" si="29"/>
        <v>0</v>
      </c>
      <c r="K187" s="100">
        <f>'1 Enterprises'!X$14</f>
        <v>6453.333333333333</v>
      </c>
      <c r="L187" s="95">
        <f t="shared" si="30"/>
        <v>0</v>
      </c>
    </row>
    <row r="188" spans="2:12" ht="12.75">
      <c r="B188" s="31" t="s">
        <v>297</v>
      </c>
      <c r="C188" s="92" t="str">
        <f>'2 Income Statement'!B26</f>
        <v>Field Crop 4</v>
      </c>
      <c r="D188" s="145"/>
      <c r="E188" s="145"/>
      <c r="F188" s="147"/>
      <c r="G188" s="145"/>
      <c r="H188" s="145"/>
      <c r="I188" s="158"/>
      <c r="J188" s="93">
        <f t="shared" si="29"/>
        <v>0</v>
      </c>
      <c r="K188" s="100">
        <f>'1 Enterprises'!Y$14</f>
        <v>338.79999999999995</v>
      </c>
      <c r="L188" s="95">
        <f t="shared" si="30"/>
        <v>0</v>
      </c>
    </row>
    <row r="189" spans="2:12" ht="12.75">
      <c r="B189" s="31" t="s">
        <v>298</v>
      </c>
      <c r="C189" s="92" t="str">
        <f>'2 Income Statement'!B27</f>
        <v>Field Crop 5</v>
      </c>
      <c r="D189" s="145"/>
      <c r="E189" s="145"/>
      <c r="F189" s="147"/>
      <c r="G189" s="145"/>
      <c r="H189" s="145"/>
      <c r="I189" s="158"/>
      <c r="J189" s="93">
        <f t="shared" si="29"/>
        <v>0</v>
      </c>
      <c r="K189" s="100">
        <f>'1 Enterprises'!Z$14</f>
        <v>338.79999999999995</v>
      </c>
      <c r="L189" s="95">
        <f t="shared" si="30"/>
        <v>0</v>
      </c>
    </row>
    <row r="190" spans="2:12" ht="12.75">
      <c r="B190" s="31" t="s">
        <v>299</v>
      </c>
      <c r="C190" s="92" t="str">
        <f>'2 Income Statement'!B28</f>
        <v>Field Crop 6</v>
      </c>
      <c r="D190" s="145"/>
      <c r="E190" s="145"/>
      <c r="F190" s="147"/>
      <c r="G190" s="145"/>
      <c r="H190" s="145"/>
      <c r="I190" s="158"/>
      <c r="J190" s="93">
        <f t="shared" si="29"/>
        <v>0</v>
      </c>
      <c r="K190" s="100">
        <f>'1 Enterprises'!AA$14</f>
        <v>338.79999999999995</v>
      </c>
      <c r="L190" s="95">
        <f t="shared" si="30"/>
        <v>0</v>
      </c>
    </row>
    <row r="191" spans="2:12" ht="12.75">
      <c r="B191" s="31" t="s">
        <v>300</v>
      </c>
      <c r="C191" s="92" t="str">
        <f>'2 Income Statement'!B29</f>
        <v>Field Crop 7</v>
      </c>
      <c r="D191" s="145"/>
      <c r="E191" s="145"/>
      <c r="F191" s="147"/>
      <c r="G191" s="145"/>
      <c r="H191" s="145"/>
      <c r="I191" s="158"/>
      <c r="J191" s="93">
        <f t="shared" si="29"/>
        <v>0</v>
      </c>
      <c r="K191" s="100">
        <f>'1 Enterprises'!AB$14</f>
        <v>338.79999999999995</v>
      </c>
      <c r="L191" s="95">
        <f t="shared" si="30"/>
        <v>0</v>
      </c>
    </row>
    <row r="192" ht="12">
      <c r="C192" s="31"/>
    </row>
    <row r="193" spans="3:12" ht="12.75">
      <c r="C193" s="275" t="s">
        <v>46</v>
      </c>
      <c r="D193" s="276"/>
      <c r="E193" s="276"/>
      <c r="F193" s="276"/>
      <c r="G193" s="276"/>
      <c r="H193" s="276"/>
      <c r="I193" s="276"/>
      <c r="J193" s="276"/>
      <c r="K193" s="276"/>
      <c r="L193" s="277"/>
    </row>
    <row r="194" spans="2:12" ht="12.75">
      <c r="B194" s="31" t="s">
        <v>276</v>
      </c>
      <c r="C194" s="92" t="str">
        <f>'2 Income Statement'!B5</f>
        <v>Container Crop 1</v>
      </c>
      <c r="D194" s="145"/>
      <c r="E194" s="145"/>
      <c r="F194" s="147"/>
      <c r="G194" s="145"/>
      <c r="H194" s="145"/>
      <c r="I194" s="158"/>
      <c r="J194" s="93">
        <f>IF(G194&gt;0,(D194*(F194/G194)),0)</f>
        <v>0</v>
      </c>
      <c r="K194" s="94">
        <f>'1 Enterprises'!D$14</f>
        <v>32670</v>
      </c>
      <c r="L194" s="95">
        <f>IF(K194&gt;0,((J194/K194)*I194),0)</f>
        <v>0</v>
      </c>
    </row>
    <row r="195" spans="2:12" ht="12.75">
      <c r="B195" s="31" t="s">
        <v>277</v>
      </c>
      <c r="C195" s="92" t="str">
        <f>'2 Income Statement'!B6</f>
        <v>Container Crop 2</v>
      </c>
      <c r="D195" s="145"/>
      <c r="E195" s="145"/>
      <c r="F195" s="147"/>
      <c r="G195" s="145"/>
      <c r="H195" s="145"/>
      <c r="I195" s="158"/>
      <c r="J195" s="93">
        <f aca="true" t="shared" si="31" ref="J195:J206">IF(G195&gt;0,(D195*(F195/G195)),0)</f>
        <v>0</v>
      </c>
      <c r="K195" s="99">
        <f>'1 Enterprises'!E$14</f>
        <v>14520</v>
      </c>
      <c r="L195" s="95">
        <f aca="true" t="shared" si="32" ref="L195:L206">IF(K195&gt;0,((J195/K195)*I195),0)</f>
        <v>0</v>
      </c>
    </row>
    <row r="196" spans="2:12" ht="12.75">
      <c r="B196" s="31" t="s">
        <v>278</v>
      </c>
      <c r="C196" s="92" t="str">
        <f>'2 Income Statement'!B7</f>
        <v>Container Crop 3</v>
      </c>
      <c r="D196" s="145"/>
      <c r="E196" s="145"/>
      <c r="F196" s="147"/>
      <c r="G196" s="145"/>
      <c r="H196" s="145"/>
      <c r="I196" s="158"/>
      <c r="J196" s="93">
        <f t="shared" si="31"/>
        <v>0</v>
      </c>
      <c r="K196" s="99">
        <f>'1 Enterprises'!F$14</f>
        <v>6453.333333333333</v>
      </c>
      <c r="L196" s="95">
        <f t="shared" si="32"/>
        <v>0</v>
      </c>
    </row>
    <row r="197" spans="2:12" ht="12.75">
      <c r="B197" s="31" t="s">
        <v>279</v>
      </c>
      <c r="C197" s="92" t="str">
        <f>'2 Income Statement'!B8</f>
        <v>Container Crop 4</v>
      </c>
      <c r="D197" s="145"/>
      <c r="E197" s="145"/>
      <c r="F197" s="147"/>
      <c r="G197" s="145"/>
      <c r="H197" s="145"/>
      <c r="I197" s="158"/>
      <c r="J197" s="93">
        <f t="shared" si="31"/>
        <v>0</v>
      </c>
      <c r="K197" s="99">
        <f>'1 Enterprises'!G$14</f>
        <v>32670</v>
      </c>
      <c r="L197" s="95">
        <f t="shared" si="32"/>
        <v>0</v>
      </c>
    </row>
    <row r="198" spans="2:12" ht="12.75">
      <c r="B198" s="31" t="s">
        <v>280</v>
      </c>
      <c r="C198" s="92" t="str">
        <f>'2 Income Statement'!B9</f>
        <v>Container Crop 5</v>
      </c>
      <c r="D198" s="145"/>
      <c r="E198" s="145"/>
      <c r="F198" s="147"/>
      <c r="G198" s="145"/>
      <c r="H198" s="145"/>
      <c r="I198" s="158"/>
      <c r="J198" s="93">
        <f t="shared" si="31"/>
        <v>0</v>
      </c>
      <c r="K198" s="99">
        <f>'1 Enterprises'!H$14</f>
        <v>14520</v>
      </c>
      <c r="L198" s="95">
        <f t="shared" si="32"/>
        <v>0</v>
      </c>
    </row>
    <row r="199" spans="2:12" ht="12.75">
      <c r="B199" s="31" t="s">
        <v>281</v>
      </c>
      <c r="C199" s="92" t="str">
        <f>'2 Income Statement'!B10</f>
        <v>Container Crop 6</v>
      </c>
      <c r="D199" s="145"/>
      <c r="E199" s="145"/>
      <c r="F199" s="147"/>
      <c r="G199" s="145"/>
      <c r="H199" s="145"/>
      <c r="I199" s="158"/>
      <c r="J199" s="93">
        <f t="shared" si="31"/>
        <v>0</v>
      </c>
      <c r="K199" s="99">
        <f>'1 Enterprises'!I$14</f>
        <v>6453.333333333333</v>
      </c>
      <c r="L199" s="95">
        <f t="shared" si="32"/>
        <v>0</v>
      </c>
    </row>
    <row r="200" spans="2:12" ht="12.75">
      <c r="B200" s="31" t="s">
        <v>282</v>
      </c>
      <c r="C200" s="92" t="str">
        <f>'2 Income Statement'!B11</f>
        <v>Container Crop 7</v>
      </c>
      <c r="D200" s="145"/>
      <c r="E200" s="145"/>
      <c r="F200" s="147"/>
      <c r="G200" s="145"/>
      <c r="H200" s="145"/>
      <c r="I200" s="158"/>
      <c r="J200" s="93">
        <f t="shared" si="31"/>
        <v>0</v>
      </c>
      <c r="K200" s="99">
        <f>'1 Enterprises'!J$14</f>
        <v>32670</v>
      </c>
      <c r="L200" s="95">
        <f t="shared" si="32"/>
        <v>0</v>
      </c>
    </row>
    <row r="201" spans="2:12" ht="12.75">
      <c r="B201" s="31" t="s">
        <v>283</v>
      </c>
      <c r="C201" s="92" t="str">
        <f>'2 Income Statement'!B12</f>
        <v>Container Crop 8</v>
      </c>
      <c r="D201" s="145"/>
      <c r="E201" s="145"/>
      <c r="F201" s="147"/>
      <c r="G201" s="145"/>
      <c r="H201" s="145"/>
      <c r="I201" s="158"/>
      <c r="J201" s="93">
        <f t="shared" si="31"/>
        <v>0</v>
      </c>
      <c r="K201" s="100">
        <f>'1 Enterprises'!K$14</f>
        <v>14520</v>
      </c>
      <c r="L201" s="95">
        <f t="shared" si="32"/>
        <v>0</v>
      </c>
    </row>
    <row r="202" spans="2:12" ht="12.75">
      <c r="B202" s="31" t="s">
        <v>284</v>
      </c>
      <c r="C202" s="92" t="str">
        <f>'2 Income Statement'!B13</f>
        <v>Container Crop 9</v>
      </c>
      <c r="D202" s="145"/>
      <c r="E202" s="145"/>
      <c r="F202" s="147"/>
      <c r="G202" s="145"/>
      <c r="H202" s="145"/>
      <c r="I202" s="158"/>
      <c r="J202" s="93">
        <f t="shared" si="31"/>
        <v>0</v>
      </c>
      <c r="K202" s="100">
        <f>'1 Enterprises'!L$14</f>
        <v>6453.333333333333</v>
      </c>
      <c r="L202" s="95">
        <f t="shared" si="32"/>
        <v>0</v>
      </c>
    </row>
    <row r="203" spans="2:12" ht="12.75">
      <c r="B203" s="31" t="s">
        <v>285</v>
      </c>
      <c r="C203" s="92" t="str">
        <f>'2 Income Statement'!B14</f>
        <v>Field Crop 1</v>
      </c>
      <c r="D203" s="145"/>
      <c r="E203" s="145"/>
      <c r="F203" s="147"/>
      <c r="G203" s="145"/>
      <c r="H203" s="145"/>
      <c r="I203" s="158"/>
      <c r="J203" s="93">
        <f t="shared" si="31"/>
        <v>0</v>
      </c>
      <c r="K203" s="100">
        <f>'1 Enterprises'!M$14</f>
        <v>338.79999999999995</v>
      </c>
      <c r="L203" s="95">
        <f t="shared" si="32"/>
        <v>0</v>
      </c>
    </row>
    <row r="204" spans="2:12" ht="12.75">
      <c r="B204" s="31" t="s">
        <v>286</v>
      </c>
      <c r="C204" s="92" t="str">
        <f>'2 Income Statement'!B15</f>
        <v>Field Crop 2</v>
      </c>
      <c r="D204" s="145"/>
      <c r="E204" s="145"/>
      <c r="F204" s="147"/>
      <c r="G204" s="145"/>
      <c r="H204" s="145"/>
      <c r="I204" s="158"/>
      <c r="J204" s="93">
        <f t="shared" si="31"/>
        <v>0</v>
      </c>
      <c r="K204" s="100">
        <f>'1 Enterprises'!N$14</f>
        <v>338.79999999999995</v>
      </c>
      <c r="L204" s="95">
        <f t="shared" si="32"/>
        <v>0</v>
      </c>
    </row>
    <row r="205" spans="2:12" ht="12.75">
      <c r="B205" s="31" t="s">
        <v>287</v>
      </c>
      <c r="C205" s="92" t="str">
        <f>'2 Income Statement'!B16</f>
        <v>Field Crop 3</v>
      </c>
      <c r="D205" s="145"/>
      <c r="E205" s="145"/>
      <c r="F205" s="147"/>
      <c r="G205" s="145"/>
      <c r="H205" s="145"/>
      <c r="I205" s="158"/>
      <c r="J205" s="93">
        <f t="shared" si="31"/>
        <v>0</v>
      </c>
      <c r="K205" s="100">
        <f>'1 Enterprises'!O$14</f>
        <v>338.79999999999995</v>
      </c>
      <c r="L205" s="95">
        <f t="shared" si="32"/>
        <v>0</v>
      </c>
    </row>
    <row r="206" spans="2:12" ht="12.75">
      <c r="B206" s="31" t="s">
        <v>288</v>
      </c>
      <c r="C206" s="92" t="str">
        <f>'2 Income Statement'!B17</f>
        <v>Container Crop 10</v>
      </c>
      <c r="D206" s="145"/>
      <c r="E206" s="145"/>
      <c r="F206" s="147"/>
      <c r="G206" s="145"/>
      <c r="H206" s="145"/>
      <c r="I206" s="158"/>
      <c r="J206" s="93">
        <f t="shared" si="31"/>
        <v>0</v>
      </c>
      <c r="K206" s="100">
        <f>'1 Enterprises'!P$14</f>
        <v>32670</v>
      </c>
      <c r="L206" s="95">
        <f t="shared" si="32"/>
        <v>0</v>
      </c>
    </row>
    <row r="207" spans="2:12" ht="12.75">
      <c r="B207" s="31" t="s">
        <v>289</v>
      </c>
      <c r="C207" s="92" t="str">
        <f>'2 Income Statement'!B18</f>
        <v>Container Crop 11</v>
      </c>
      <c r="D207" s="145"/>
      <c r="E207" s="145"/>
      <c r="F207" s="147"/>
      <c r="G207" s="145"/>
      <c r="H207" s="145"/>
      <c r="I207" s="158"/>
      <c r="J207" s="93">
        <f>IF(G207&gt;0,(D207*(F207/G207)),0)</f>
        <v>0</v>
      </c>
      <c r="K207" s="100">
        <f>'1 Enterprises'!Q$14</f>
        <v>14520</v>
      </c>
      <c r="L207" s="95">
        <f>IF(K207&gt;0,((J207/K207)*I207),0)</f>
        <v>0</v>
      </c>
    </row>
    <row r="208" spans="2:12" ht="12.75">
      <c r="B208" s="31" t="s">
        <v>290</v>
      </c>
      <c r="C208" s="92" t="str">
        <f>'2 Income Statement'!B19</f>
        <v>Container Crop 12</v>
      </c>
      <c r="D208" s="145"/>
      <c r="E208" s="145"/>
      <c r="F208" s="147"/>
      <c r="G208" s="145"/>
      <c r="H208" s="145"/>
      <c r="I208" s="158"/>
      <c r="J208" s="93">
        <f aca="true" t="shared" si="33" ref="J208:J218">IF(G208&gt;0,(D208*(F208/G208)),0)</f>
        <v>0</v>
      </c>
      <c r="K208" s="100">
        <f>'1 Enterprises'!R$14</f>
        <v>6453.333333333333</v>
      </c>
      <c r="L208" s="95">
        <f aca="true" t="shared" si="34" ref="L208:L218">IF(K208&gt;0,((J208/K208)*I208),0)</f>
        <v>0</v>
      </c>
    </row>
    <row r="209" spans="2:12" ht="12.75">
      <c r="B209" s="31" t="s">
        <v>291</v>
      </c>
      <c r="C209" s="92" t="str">
        <f>'2 Income Statement'!B20</f>
        <v>Container Crop 13</v>
      </c>
      <c r="D209" s="145"/>
      <c r="E209" s="145"/>
      <c r="F209" s="147"/>
      <c r="G209" s="145"/>
      <c r="H209" s="145"/>
      <c r="I209" s="158"/>
      <c r="J209" s="93">
        <f t="shared" si="33"/>
        <v>0</v>
      </c>
      <c r="K209" s="100">
        <f>'1 Enterprises'!S$14</f>
        <v>32670</v>
      </c>
      <c r="L209" s="95">
        <f t="shared" si="34"/>
        <v>0</v>
      </c>
    </row>
    <row r="210" spans="2:12" ht="12.75">
      <c r="B210" s="31" t="s">
        <v>292</v>
      </c>
      <c r="C210" s="92" t="str">
        <f>'2 Income Statement'!B21</f>
        <v>Container Crop 14</v>
      </c>
      <c r="D210" s="145"/>
      <c r="E210" s="145"/>
      <c r="F210" s="147"/>
      <c r="G210" s="145"/>
      <c r="H210" s="145"/>
      <c r="I210" s="158"/>
      <c r="J210" s="93">
        <f t="shared" si="33"/>
        <v>0</v>
      </c>
      <c r="K210" s="100">
        <f>'1 Enterprises'!T$14</f>
        <v>14520</v>
      </c>
      <c r="L210" s="95">
        <f t="shared" si="34"/>
        <v>0</v>
      </c>
    </row>
    <row r="211" spans="2:12" ht="12.75">
      <c r="B211" s="31" t="s">
        <v>293</v>
      </c>
      <c r="C211" s="92" t="str">
        <f>'2 Income Statement'!B22</f>
        <v>Container Crop 15</v>
      </c>
      <c r="D211" s="145"/>
      <c r="E211" s="145"/>
      <c r="F211" s="147"/>
      <c r="G211" s="145"/>
      <c r="H211" s="145"/>
      <c r="I211" s="158"/>
      <c r="J211" s="93">
        <f t="shared" si="33"/>
        <v>0</v>
      </c>
      <c r="K211" s="100">
        <f>'1 Enterprises'!U$14</f>
        <v>6453.333333333333</v>
      </c>
      <c r="L211" s="95">
        <f t="shared" si="34"/>
        <v>0</v>
      </c>
    </row>
    <row r="212" spans="2:12" ht="12.75">
      <c r="B212" s="31" t="s">
        <v>294</v>
      </c>
      <c r="C212" s="92" t="str">
        <f>'2 Income Statement'!B23</f>
        <v>Container Crop 16</v>
      </c>
      <c r="D212" s="145"/>
      <c r="E212" s="145"/>
      <c r="F212" s="147"/>
      <c r="G212" s="145"/>
      <c r="H212" s="145"/>
      <c r="I212" s="158"/>
      <c r="J212" s="93">
        <f t="shared" si="33"/>
        <v>0</v>
      </c>
      <c r="K212" s="100">
        <f>'1 Enterprises'!V$14</f>
        <v>32670</v>
      </c>
      <c r="L212" s="95">
        <f t="shared" si="34"/>
        <v>0</v>
      </c>
    </row>
    <row r="213" spans="2:12" ht="12.75">
      <c r="B213" s="31" t="s">
        <v>295</v>
      </c>
      <c r="C213" s="92" t="str">
        <f>'2 Income Statement'!B24</f>
        <v>Container Crop 17</v>
      </c>
      <c r="D213" s="145"/>
      <c r="E213" s="145"/>
      <c r="F213" s="147"/>
      <c r="G213" s="145"/>
      <c r="H213" s="145"/>
      <c r="I213" s="158"/>
      <c r="J213" s="93">
        <f t="shared" si="33"/>
        <v>0</v>
      </c>
      <c r="K213" s="100">
        <f>'1 Enterprises'!W$14</f>
        <v>14520</v>
      </c>
      <c r="L213" s="95">
        <f t="shared" si="34"/>
        <v>0</v>
      </c>
    </row>
    <row r="214" spans="2:12" ht="12.75">
      <c r="B214" s="31" t="s">
        <v>296</v>
      </c>
      <c r="C214" s="92" t="str">
        <f>'2 Income Statement'!B25</f>
        <v>Container Crop 18</v>
      </c>
      <c r="D214" s="145"/>
      <c r="E214" s="145"/>
      <c r="F214" s="147"/>
      <c r="G214" s="145"/>
      <c r="H214" s="145"/>
      <c r="I214" s="158"/>
      <c r="J214" s="93">
        <f t="shared" si="33"/>
        <v>0</v>
      </c>
      <c r="K214" s="100">
        <f>'1 Enterprises'!X$14</f>
        <v>6453.333333333333</v>
      </c>
      <c r="L214" s="95">
        <f t="shared" si="34"/>
        <v>0</v>
      </c>
    </row>
    <row r="215" spans="2:12" ht="12.75">
      <c r="B215" s="31" t="s">
        <v>297</v>
      </c>
      <c r="C215" s="92" t="str">
        <f>'2 Income Statement'!B26</f>
        <v>Field Crop 4</v>
      </c>
      <c r="D215" s="145"/>
      <c r="E215" s="145"/>
      <c r="F215" s="147"/>
      <c r="G215" s="145"/>
      <c r="H215" s="145"/>
      <c r="I215" s="158"/>
      <c r="J215" s="93">
        <f t="shared" si="33"/>
        <v>0</v>
      </c>
      <c r="K215" s="100">
        <f>'1 Enterprises'!Y$14</f>
        <v>338.79999999999995</v>
      </c>
      <c r="L215" s="95">
        <f t="shared" si="34"/>
        <v>0</v>
      </c>
    </row>
    <row r="216" spans="2:12" ht="12.75">
      <c r="B216" s="31" t="s">
        <v>298</v>
      </c>
      <c r="C216" s="92" t="str">
        <f>'2 Income Statement'!B27</f>
        <v>Field Crop 5</v>
      </c>
      <c r="D216" s="145"/>
      <c r="E216" s="145"/>
      <c r="F216" s="147"/>
      <c r="G216" s="145"/>
      <c r="H216" s="145"/>
      <c r="I216" s="158"/>
      <c r="J216" s="93">
        <f t="shared" si="33"/>
        <v>0</v>
      </c>
      <c r="K216" s="100">
        <f>'1 Enterprises'!Z$14</f>
        <v>338.79999999999995</v>
      </c>
      <c r="L216" s="95">
        <f t="shared" si="34"/>
        <v>0</v>
      </c>
    </row>
    <row r="217" spans="2:12" ht="12.75">
      <c r="B217" s="31" t="s">
        <v>299</v>
      </c>
      <c r="C217" s="92" t="str">
        <f>'2 Income Statement'!B28</f>
        <v>Field Crop 6</v>
      </c>
      <c r="D217" s="145"/>
      <c r="E217" s="145"/>
      <c r="F217" s="147"/>
      <c r="G217" s="145"/>
      <c r="H217" s="145"/>
      <c r="I217" s="158"/>
      <c r="J217" s="93">
        <f t="shared" si="33"/>
        <v>0</v>
      </c>
      <c r="K217" s="100">
        <f>'1 Enterprises'!AA$14</f>
        <v>338.79999999999995</v>
      </c>
      <c r="L217" s="95">
        <f t="shared" si="34"/>
        <v>0</v>
      </c>
    </row>
    <row r="218" spans="2:12" ht="12.75">
      <c r="B218" s="31" t="s">
        <v>300</v>
      </c>
      <c r="C218" s="92" t="str">
        <f>'2 Income Statement'!B29</f>
        <v>Field Crop 7</v>
      </c>
      <c r="D218" s="145"/>
      <c r="E218" s="145"/>
      <c r="F218" s="147"/>
      <c r="G218" s="145"/>
      <c r="H218" s="145"/>
      <c r="I218" s="158"/>
      <c r="J218" s="93">
        <f t="shared" si="33"/>
        <v>0</v>
      </c>
      <c r="K218" s="100">
        <f>'1 Enterprises'!AB$14</f>
        <v>338.79999999999995</v>
      </c>
      <c r="L218" s="95">
        <f t="shared" si="34"/>
        <v>0</v>
      </c>
    </row>
    <row r="219" ht="12">
      <c r="C219" s="31"/>
    </row>
    <row r="220" spans="3:12" ht="12.75">
      <c r="C220" s="275" t="s">
        <v>47</v>
      </c>
      <c r="D220" s="276"/>
      <c r="E220" s="276"/>
      <c r="F220" s="276"/>
      <c r="G220" s="276"/>
      <c r="H220" s="276"/>
      <c r="I220" s="276"/>
      <c r="J220" s="276"/>
      <c r="K220" s="276"/>
      <c r="L220" s="277"/>
    </row>
    <row r="221" spans="2:12" ht="12.75">
      <c r="B221" s="31" t="s">
        <v>276</v>
      </c>
      <c r="C221" s="92" t="str">
        <f>'2 Income Statement'!B5</f>
        <v>Container Crop 1</v>
      </c>
      <c r="D221" s="145"/>
      <c r="E221" s="145"/>
      <c r="F221" s="147"/>
      <c r="G221" s="145"/>
      <c r="H221" s="145"/>
      <c r="I221" s="158"/>
      <c r="J221" s="93">
        <f>IF(G221&gt;0,(D221*(F221/G221)),0)</f>
        <v>0</v>
      </c>
      <c r="K221" s="94">
        <f>'1 Enterprises'!D$14</f>
        <v>32670</v>
      </c>
      <c r="L221" s="95">
        <f>IF(K221&gt;0,((J221/K221)*I221),0)</f>
        <v>0</v>
      </c>
    </row>
    <row r="222" spans="2:12" ht="12.75">
      <c r="B222" s="31" t="s">
        <v>277</v>
      </c>
      <c r="C222" s="92" t="str">
        <f>'2 Income Statement'!B6</f>
        <v>Container Crop 2</v>
      </c>
      <c r="D222" s="145"/>
      <c r="E222" s="145"/>
      <c r="F222" s="147"/>
      <c r="G222" s="145"/>
      <c r="H222" s="145"/>
      <c r="I222" s="158"/>
      <c r="J222" s="93">
        <f aca="true" t="shared" si="35" ref="J222:J233">IF(G222&gt;0,(D222*(F222/G222)),0)</f>
        <v>0</v>
      </c>
      <c r="K222" s="99">
        <f>'1 Enterprises'!E$14</f>
        <v>14520</v>
      </c>
      <c r="L222" s="95">
        <f aca="true" t="shared" si="36" ref="L222:L233">IF(K222&gt;0,((J222/K222)*I222),0)</f>
        <v>0</v>
      </c>
    </row>
    <row r="223" spans="2:12" ht="12.75">
      <c r="B223" s="31" t="s">
        <v>278</v>
      </c>
      <c r="C223" s="92" t="str">
        <f>'2 Income Statement'!B7</f>
        <v>Container Crop 3</v>
      </c>
      <c r="D223" s="145"/>
      <c r="E223" s="145"/>
      <c r="F223" s="147"/>
      <c r="G223" s="145"/>
      <c r="H223" s="145"/>
      <c r="I223" s="158"/>
      <c r="J223" s="93">
        <f t="shared" si="35"/>
        <v>0</v>
      </c>
      <c r="K223" s="99">
        <f>'1 Enterprises'!F$14</f>
        <v>6453.333333333333</v>
      </c>
      <c r="L223" s="95">
        <f t="shared" si="36"/>
        <v>0</v>
      </c>
    </row>
    <row r="224" spans="2:12" ht="12.75">
      <c r="B224" s="31" t="s">
        <v>279</v>
      </c>
      <c r="C224" s="92" t="str">
        <f>'2 Income Statement'!B8</f>
        <v>Container Crop 4</v>
      </c>
      <c r="D224" s="145"/>
      <c r="E224" s="145"/>
      <c r="F224" s="147"/>
      <c r="G224" s="145"/>
      <c r="H224" s="145"/>
      <c r="I224" s="158"/>
      <c r="J224" s="93">
        <f t="shared" si="35"/>
        <v>0</v>
      </c>
      <c r="K224" s="99">
        <f>'1 Enterprises'!G$14</f>
        <v>32670</v>
      </c>
      <c r="L224" s="95">
        <f t="shared" si="36"/>
        <v>0</v>
      </c>
    </row>
    <row r="225" spans="2:12" ht="12.75">
      <c r="B225" s="31" t="s">
        <v>280</v>
      </c>
      <c r="C225" s="92" t="str">
        <f>'2 Income Statement'!B9</f>
        <v>Container Crop 5</v>
      </c>
      <c r="D225" s="145"/>
      <c r="E225" s="145"/>
      <c r="F225" s="147"/>
      <c r="G225" s="145"/>
      <c r="H225" s="145"/>
      <c r="I225" s="158"/>
      <c r="J225" s="93">
        <f t="shared" si="35"/>
        <v>0</v>
      </c>
      <c r="K225" s="99">
        <f>'1 Enterprises'!H$14</f>
        <v>14520</v>
      </c>
      <c r="L225" s="95">
        <f t="shared" si="36"/>
        <v>0</v>
      </c>
    </row>
    <row r="226" spans="2:12" ht="12.75">
      <c r="B226" s="31" t="s">
        <v>281</v>
      </c>
      <c r="C226" s="92" t="str">
        <f>'2 Income Statement'!B10</f>
        <v>Container Crop 6</v>
      </c>
      <c r="D226" s="145"/>
      <c r="E226" s="145"/>
      <c r="F226" s="147"/>
      <c r="G226" s="145"/>
      <c r="H226" s="145"/>
      <c r="I226" s="158"/>
      <c r="J226" s="93">
        <f t="shared" si="35"/>
        <v>0</v>
      </c>
      <c r="K226" s="99">
        <f>'1 Enterprises'!I$14</f>
        <v>6453.333333333333</v>
      </c>
      <c r="L226" s="95">
        <f t="shared" si="36"/>
        <v>0</v>
      </c>
    </row>
    <row r="227" spans="2:12" ht="12.75">
      <c r="B227" s="31" t="s">
        <v>282</v>
      </c>
      <c r="C227" s="92" t="str">
        <f>'2 Income Statement'!B11</f>
        <v>Container Crop 7</v>
      </c>
      <c r="D227" s="145"/>
      <c r="E227" s="145"/>
      <c r="F227" s="147"/>
      <c r="G227" s="145"/>
      <c r="H227" s="145"/>
      <c r="I227" s="158"/>
      <c r="J227" s="93">
        <f t="shared" si="35"/>
        <v>0</v>
      </c>
      <c r="K227" s="99">
        <f>'1 Enterprises'!J$14</f>
        <v>32670</v>
      </c>
      <c r="L227" s="95">
        <f t="shared" si="36"/>
        <v>0</v>
      </c>
    </row>
    <row r="228" spans="2:12" ht="12.75">
      <c r="B228" s="31" t="s">
        <v>283</v>
      </c>
      <c r="C228" s="92" t="str">
        <f>'2 Income Statement'!B12</f>
        <v>Container Crop 8</v>
      </c>
      <c r="D228" s="145"/>
      <c r="E228" s="145"/>
      <c r="F228" s="147"/>
      <c r="G228" s="145"/>
      <c r="H228" s="145"/>
      <c r="I228" s="158"/>
      <c r="J228" s="93">
        <f t="shared" si="35"/>
        <v>0</v>
      </c>
      <c r="K228" s="100">
        <f>'1 Enterprises'!K$14</f>
        <v>14520</v>
      </c>
      <c r="L228" s="95">
        <f t="shared" si="36"/>
        <v>0</v>
      </c>
    </row>
    <row r="229" spans="2:12" ht="12.75">
      <c r="B229" s="31" t="s">
        <v>284</v>
      </c>
      <c r="C229" s="92" t="str">
        <f>'2 Income Statement'!B13</f>
        <v>Container Crop 9</v>
      </c>
      <c r="D229" s="145"/>
      <c r="E229" s="145"/>
      <c r="F229" s="147"/>
      <c r="G229" s="145"/>
      <c r="H229" s="145"/>
      <c r="I229" s="158"/>
      <c r="J229" s="93">
        <f t="shared" si="35"/>
        <v>0</v>
      </c>
      <c r="K229" s="100">
        <f>'1 Enterprises'!L$14</f>
        <v>6453.333333333333</v>
      </c>
      <c r="L229" s="95">
        <f t="shared" si="36"/>
        <v>0</v>
      </c>
    </row>
    <row r="230" spans="2:12" ht="12.75">
      <c r="B230" s="31" t="s">
        <v>285</v>
      </c>
      <c r="C230" s="92" t="str">
        <f>'2 Income Statement'!B14</f>
        <v>Field Crop 1</v>
      </c>
      <c r="D230" s="145"/>
      <c r="E230" s="145"/>
      <c r="F230" s="147"/>
      <c r="G230" s="145"/>
      <c r="H230" s="145"/>
      <c r="I230" s="158"/>
      <c r="J230" s="93">
        <f t="shared" si="35"/>
        <v>0</v>
      </c>
      <c r="K230" s="100">
        <f>'1 Enterprises'!M$14</f>
        <v>338.79999999999995</v>
      </c>
      <c r="L230" s="95">
        <f t="shared" si="36"/>
        <v>0</v>
      </c>
    </row>
    <row r="231" spans="2:12" ht="12.75">
      <c r="B231" s="31" t="s">
        <v>286</v>
      </c>
      <c r="C231" s="92" t="str">
        <f>'2 Income Statement'!B15</f>
        <v>Field Crop 2</v>
      </c>
      <c r="D231" s="145"/>
      <c r="E231" s="145"/>
      <c r="F231" s="147"/>
      <c r="G231" s="145"/>
      <c r="H231" s="145"/>
      <c r="I231" s="158"/>
      <c r="J231" s="93">
        <f t="shared" si="35"/>
        <v>0</v>
      </c>
      <c r="K231" s="100">
        <f>'1 Enterprises'!N$14</f>
        <v>338.79999999999995</v>
      </c>
      <c r="L231" s="95">
        <f t="shared" si="36"/>
        <v>0</v>
      </c>
    </row>
    <row r="232" spans="2:12" ht="12.75">
      <c r="B232" s="31" t="s">
        <v>287</v>
      </c>
      <c r="C232" s="92" t="str">
        <f>'2 Income Statement'!B16</f>
        <v>Field Crop 3</v>
      </c>
      <c r="D232" s="145"/>
      <c r="E232" s="145"/>
      <c r="F232" s="147"/>
      <c r="G232" s="145"/>
      <c r="H232" s="145"/>
      <c r="I232" s="158"/>
      <c r="J232" s="93">
        <f t="shared" si="35"/>
        <v>0</v>
      </c>
      <c r="K232" s="100">
        <f>'1 Enterprises'!O$14</f>
        <v>338.79999999999995</v>
      </c>
      <c r="L232" s="95">
        <f t="shared" si="36"/>
        <v>0</v>
      </c>
    </row>
    <row r="233" spans="2:12" ht="12.75">
      <c r="B233" s="31" t="s">
        <v>288</v>
      </c>
      <c r="C233" s="92" t="str">
        <f>'2 Income Statement'!B17</f>
        <v>Container Crop 10</v>
      </c>
      <c r="D233" s="145"/>
      <c r="E233" s="145"/>
      <c r="F233" s="147"/>
      <c r="G233" s="145"/>
      <c r="H233" s="145"/>
      <c r="I233" s="158"/>
      <c r="J233" s="93">
        <f t="shared" si="35"/>
        <v>0</v>
      </c>
      <c r="K233" s="100">
        <f>'1 Enterprises'!P$14</f>
        <v>32670</v>
      </c>
      <c r="L233" s="95">
        <f t="shared" si="36"/>
        <v>0</v>
      </c>
    </row>
    <row r="234" spans="2:12" ht="12.75">
      <c r="B234" s="31" t="s">
        <v>289</v>
      </c>
      <c r="C234" s="92" t="str">
        <f>'2 Income Statement'!B18</f>
        <v>Container Crop 11</v>
      </c>
      <c r="D234" s="145"/>
      <c r="E234" s="145"/>
      <c r="F234" s="147"/>
      <c r="G234" s="145"/>
      <c r="H234" s="145"/>
      <c r="I234" s="158"/>
      <c r="J234" s="93">
        <f>IF(G234&gt;0,(D234*(F234/G234)),0)</f>
        <v>0</v>
      </c>
      <c r="K234" s="100">
        <f>'1 Enterprises'!Q$14</f>
        <v>14520</v>
      </c>
      <c r="L234" s="95">
        <f>IF(K234&gt;0,((J234/K234)*I234),0)</f>
        <v>0</v>
      </c>
    </row>
    <row r="235" spans="2:12" ht="12.75">
      <c r="B235" s="31" t="s">
        <v>290</v>
      </c>
      <c r="C235" s="92" t="str">
        <f>'2 Income Statement'!B19</f>
        <v>Container Crop 12</v>
      </c>
      <c r="D235" s="145"/>
      <c r="E235" s="145"/>
      <c r="F235" s="147"/>
      <c r="G235" s="145"/>
      <c r="H235" s="145"/>
      <c r="I235" s="158"/>
      <c r="J235" s="93">
        <f aca="true" t="shared" si="37" ref="J235:J245">IF(G235&gt;0,(D235*(F235/G235)),0)</f>
        <v>0</v>
      </c>
      <c r="K235" s="100">
        <f>'1 Enterprises'!R$14</f>
        <v>6453.333333333333</v>
      </c>
      <c r="L235" s="95">
        <f aca="true" t="shared" si="38" ref="L235:L245">IF(K235&gt;0,((J235/K235)*I235),0)</f>
        <v>0</v>
      </c>
    </row>
    <row r="236" spans="2:12" ht="12.75">
      <c r="B236" s="31" t="s">
        <v>291</v>
      </c>
      <c r="C236" s="92" t="str">
        <f>'2 Income Statement'!B20</f>
        <v>Container Crop 13</v>
      </c>
      <c r="D236" s="145"/>
      <c r="E236" s="145"/>
      <c r="F236" s="147"/>
      <c r="G236" s="145"/>
      <c r="H236" s="145"/>
      <c r="I236" s="158"/>
      <c r="J236" s="93">
        <f t="shared" si="37"/>
        <v>0</v>
      </c>
      <c r="K236" s="100">
        <f>'1 Enterprises'!S$14</f>
        <v>32670</v>
      </c>
      <c r="L236" s="95">
        <f t="shared" si="38"/>
        <v>0</v>
      </c>
    </row>
    <row r="237" spans="2:12" ht="12.75">
      <c r="B237" s="31" t="s">
        <v>292</v>
      </c>
      <c r="C237" s="92" t="str">
        <f>'2 Income Statement'!B21</f>
        <v>Container Crop 14</v>
      </c>
      <c r="D237" s="145"/>
      <c r="E237" s="145"/>
      <c r="F237" s="147"/>
      <c r="G237" s="145"/>
      <c r="H237" s="145"/>
      <c r="I237" s="158"/>
      <c r="J237" s="93">
        <f t="shared" si="37"/>
        <v>0</v>
      </c>
      <c r="K237" s="100">
        <f>'1 Enterprises'!T$14</f>
        <v>14520</v>
      </c>
      <c r="L237" s="95">
        <f t="shared" si="38"/>
        <v>0</v>
      </c>
    </row>
    <row r="238" spans="2:12" ht="12.75">
      <c r="B238" s="31" t="s">
        <v>293</v>
      </c>
      <c r="C238" s="92" t="str">
        <f>'2 Income Statement'!B22</f>
        <v>Container Crop 15</v>
      </c>
      <c r="D238" s="145"/>
      <c r="E238" s="145"/>
      <c r="F238" s="147"/>
      <c r="G238" s="145"/>
      <c r="H238" s="145"/>
      <c r="I238" s="158"/>
      <c r="J238" s="93">
        <f t="shared" si="37"/>
        <v>0</v>
      </c>
      <c r="K238" s="100">
        <f>'1 Enterprises'!U$14</f>
        <v>6453.333333333333</v>
      </c>
      <c r="L238" s="95">
        <f t="shared" si="38"/>
        <v>0</v>
      </c>
    </row>
    <row r="239" spans="2:12" ht="12.75">
      <c r="B239" s="31" t="s">
        <v>294</v>
      </c>
      <c r="C239" s="92" t="str">
        <f>'2 Income Statement'!B23</f>
        <v>Container Crop 16</v>
      </c>
      <c r="D239" s="145"/>
      <c r="E239" s="145"/>
      <c r="F239" s="147"/>
      <c r="G239" s="145"/>
      <c r="H239" s="145"/>
      <c r="I239" s="158"/>
      <c r="J239" s="93">
        <f t="shared" si="37"/>
        <v>0</v>
      </c>
      <c r="K239" s="100">
        <f>'1 Enterprises'!V$14</f>
        <v>32670</v>
      </c>
      <c r="L239" s="95">
        <f t="shared" si="38"/>
        <v>0</v>
      </c>
    </row>
    <row r="240" spans="2:12" ht="12.75">
      <c r="B240" s="31" t="s">
        <v>295</v>
      </c>
      <c r="C240" s="92" t="str">
        <f>'2 Income Statement'!B24</f>
        <v>Container Crop 17</v>
      </c>
      <c r="D240" s="145"/>
      <c r="E240" s="145"/>
      <c r="F240" s="147"/>
      <c r="G240" s="145"/>
      <c r="H240" s="145"/>
      <c r="I240" s="158"/>
      <c r="J240" s="93">
        <f t="shared" si="37"/>
        <v>0</v>
      </c>
      <c r="K240" s="100">
        <f>'1 Enterprises'!W$14</f>
        <v>14520</v>
      </c>
      <c r="L240" s="95">
        <f t="shared" si="38"/>
        <v>0</v>
      </c>
    </row>
    <row r="241" spans="2:12" ht="12.75">
      <c r="B241" s="31" t="s">
        <v>296</v>
      </c>
      <c r="C241" s="92" t="str">
        <f>'2 Income Statement'!B25</f>
        <v>Container Crop 18</v>
      </c>
      <c r="D241" s="145"/>
      <c r="E241" s="145"/>
      <c r="F241" s="147"/>
      <c r="G241" s="145"/>
      <c r="H241" s="145"/>
      <c r="I241" s="158"/>
      <c r="J241" s="93">
        <f t="shared" si="37"/>
        <v>0</v>
      </c>
      <c r="K241" s="100">
        <f>'1 Enterprises'!X$14</f>
        <v>6453.333333333333</v>
      </c>
      <c r="L241" s="95">
        <f t="shared" si="38"/>
        <v>0</v>
      </c>
    </row>
    <row r="242" spans="2:12" ht="12.75">
      <c r="B242" s="31" t="s">
        <v>297</v>
      </c>
      <c r="C242" s="92" t="str">
        <f>'2 Income Statement'!B26</f>
        <v>Field Crop 4</v>
      </c>
      <c r="D242" s="145"/>
      <c r="E242" s="145"/>
      <c r="F242" s="147"/>
      <c r="G242" s="145"/>
      <c r="H242" s="145"/>
      <c r="I242" s="158"/>
      <c r="J242" s="93">
        <f t="shared" si="37"/>
        <v>0</v>
      </c>
      <c r="K242" s="100">
        <f>'1 Enterprises'!Y$14</f>
        <v>338.79999999999995</v>
      </c>
      <c r="L242" s="95">
        <f t="shared" si="38"/>
        <v>0</v>
      </c>
    </row>
    <row r="243" spans="2:12" ht="12.75">
      <c r="B243" s="31" t="s">
        <v>298</v>
      </c>
      <c r="C243" s="92" t="str">
        <f>'2 Income Statement'!B27</f>
        <v>Field Crop 5</v>
      </c>
      <c r="D243" s="145"/>
      <c r="E243" s="145"/>
      <c r="F243" s="147"/>
      <c r="G243" s="145"/>
      <c r="H243" s="145"/>
      <c r="I243" s="158"/>
      <c r="J243" s="93">
        <f t="shared" si="37"/>
        <v>0</v>
      </c>
      <c r="K243" s="100">
        <f>'1 Enterprises'!Z$14</f>
        <v>338.79999999999995</v>
      </c>
      <c r="L243" s="95">
        <f t="shared" si="38"/>
        <v>0</v>
      </c>
    </row>
    <row r="244" spans="2:12" ht="12.75">
      <c r="B244" s="31" t="s">
        <v>299</v>
      </c>
      <c r="C244" s="92" t="str">
        <f>'2 Income Statement'!B28</f>
        <v>Field Crop 6</v>
      </c>
      <c r="D244" s="145"/>
      <c r="E244" s="145"/>
      <c r="F244" s="147"/>
      <c r="G244" s="145"/>
      <c r="H244" s="145"/>
      <c r="I244" s="158"/>
      <c r="J244" s="93">
        <f t="shared" si="37"/>
        <v>0</v>
      </c>
      <c r="K244" s="100">
        <f>'1 Enterprises'!AA$14</f>
        <v>338.79999999999995</v>
      </c>
      <c r="L244" s="95">
        <f t="shared" si="38"/>
        <v>0</v>
      </c>
    </row>
    <row r="245" spans="2:12" ht="12.75">
      <c r="B245" s="31" t="s">
        <v>300</v>
      </c>
      <c r="C245" s="92" t="str">
        <f>'2 Income Statement'!B29</f>
        <v>Field Crop 7</v>
      </c>
      <c r="D245" s="145"/>
      <c r="E245" s="145"/>
      <c r="F245" s="147"/>
      <c r="G245" s="145"/>
      <c r="H245" s="145"/>
      <c r="I245" s="158"/>
      <c r="J245" s="93">
        <f t="shared" si="37"/>
        <v>0</v>
      </c>
      <c r="K245" s="100">
        <f>'1 Enterprises'!AB$14</f>
        <v>338.79999999999995</v>
      </c>
      <c r="L245" s="95">
        <f t="shared" si="38"/>
        <v>0</v>
      </c>
    </row>
    <row r="246" ht="12">
      <c r="C246" s="31"/>
    </row>
    <row r="247" spans="3:12" ht="12.75">
      <c r="C247" s="275" t="s">
        <v>48</v>
      </c>
      <c r="D247" s="276"/>
      <c r="E247" s="276"/>
      <c r="F247" s="276"/>
      <c r="G247" s="276"/>
      <c r="H247" s="276"/>
      <c r="I247" s="276"/>
      <c r="J247" s="276"/>
      <c r="K247" s="276"/>
      <c r="L247" s="277"/>
    </row>
    <row r="248" spans="2:12" ht="12.75">
      <c r="B248" s="31" t="s">
        <v>276</v>
      </c>
      <c r="C248" s="92" t="str">
        <f>'2 Income Statement'!B5</f>
        <v>Container Crop 1</v>
      </c>
      <c r="D248" s="145"/>
      <c r="E248" s="145"/>
      <c r="F248" s="147"/>
      <c r="G248" s="145"/>
      <c r="H248" s="145"/>
      <c r="I248" s="158"/>
      <c r="J248" s="93">
        <f>IF(G248&gt;0,(D248*(F248/G248)),0)</f>
        <v>0</v>
      </c>
      <c r="K248" s="94">
        <f>'1 Enterprises'!D$14</f>
        <v>32670</v>
      </c>
      <c r="L248" s="95">
        <f>IF(K248&gt;0,((J248/K248)*I248),0)</f>
        <v>0</v>
      </c>
    </row>
    <row r="249" spans="2:12" ht="12.75">
      <c r="B249" s="31" t="s">
        <v>277</v>
      </c>
      <c r="C249" s="92" t="str">
        <f>'2 Income Statement'!B6</f>
        <v>Container Crop 2</v>
      </c>
      <c r="D249" s="145"/>
      <c r="E249" s="145"/>
      <c r="F249" s="147"/>
      <c r="G249" s="145"/>
      <c r="H249" s="145"/>
      <c r="I249" s="158"/>
      <c r="J249" s="93">
        <f aca="true" t="shared" si="39" ref="J249:J260">IF(G249&gt;0,(D249*(F249/G249)),0)</f>
        <v>0</v>
      </c>
      <c r="K249" s="99">
        <f>'1 Enterprises'!E$14</f>
        <v>14520</v>
      </c>
      <c r="L249" s="95">
        <f aca="true" t="shared" si="40" ref="L249:L260">IF(K249&gt;0,((J249/K249)*I249),0)</f>
        <v>0</v>
      </c>
    </row>
    <row r="250" spans="2:12" ht="12.75">
      <c r="B250" s="31" t="s">
        <v>278</v>
      </c>
      <c r="C250" s="92" t="str">
        <f>'2 Income Statement'!B7</f>
        <v>Container Crop 3</v>
      </c>
      <c r="D250" s="145"/>
      <c r="E250" s="145"/>
      <c r="F250" s="147"/>
      <c r="G250" s="145"/>
      <c r="H250" s="145"/>
      <c r="I250" s="158"/>
      <c r="J250" s="93">
        <f t="shared" si="39"/>
        <v>0</v>
      </c>
      <c r="K250" s="99">
        <f>'1 Enterprises'!F$14</f>
        <v>6453.333333333333</v>
      </c>
      <c r="L250" s="95">
        <f t="shared" si="40"/>
        <v>0</v>
      </c>
    </row>
    <row r="251" spans="2:12" ht="12.75">
      <c r="B251" s="31" t="s">
        <v>279</v>
      </c>
      <c r="C251" s="92" t="str">
        <f>'2 Income Statement'!B8</f>
        <v>Container Crop 4</v>
      </c>
      <c r="D251" s="145"/>
      <c r="E251" s="145"/>
      <c r="F251" s="147"/>
      <c r="G251" s="145"/>
      <c r="H251" s="145"/>
      <c r="I251" s="158"/>
      <c r="J251" s="93">
        <f t="shared" si="39"/>
        <v>0</v>
      </c>
      <c r="K251" s="99">
        <f>'1 Enterprises'!G$14</f>
        <v>32670</v>
      </c>
      <c r="L251" s="95">
        <f t="shared" si="40"/>
        <v>0</v>
      </c>
    </row>
    <row r="252" spans="2:12" ht="12.75">
      <c r="B252" s="31" t="s">
        <v>280</v>
      </c>
      <c r="C252" s="92" t="str">
        <f>'2 Income Statement'!B9</f>
        <v>Container Crop 5</v>
      </c>
      <c r="D252" s="145"/>
      <c r="E252" s="145"/>
      <c r="F252" s="147"/>
      <c r="G252" s="145"/>
      <c r="H252" s="145"/>
      <c r="I252" s="158"/>
      <c r="J252" s="93">
        <f t="shared" si="39"/>
        <v>0</v>
      </c>
      <c r="K252" s="99">
        <f>'1 Enterprises'!H$14</f>
        <v>14520</v>
      </c>
      <c r="L252" s="95">
        <f t="shared" si="40"/>
        <v>0</v>
      </c>
    </row>
    <row r="253" spans="2:12" ht="12.75">
      <c r="B253" s="31" t="s">
        <v>281</v>
      </c>
      <c r="C253" s="92" t="str">
        <f>'2 Income Statement'!B10</f>
        <v>Container Crop 6</v>
      </c>
      <c r="D253" s="145"/>
      <c r="E253" s="145"/>
      <c r="F253" s="147"/>
      <c r="G253" s="145"/>
      <c r="H253" s="145"/>
      <c r="I253" s="158"/>
      <c r="J253" s="93">
        <f t="shared" si="39"/>
        <v>0</v>
      </c>
      <c r="K253" s="99">
        <f>'1 Enterprises'!I$14</f>
        <v>6453.333333333333</v>
      </c>
      <c r="L253" s="95">
        <f t="shared" si="40"/>
        <v>0</v>
      </c>
    </row>
    <row r="254" spans="2:12" ht="12.75">
      <c r="B254" s="31" t="s">
        <v>282</v>
      </c>
      <c r="C254" s="92" t="str">
        <f>'2 Income Statement'!B11</f>
        <v>Container Crop 7</v>
      </c>
      <c r="D254" s="145"/>
      <c r="E254" s="145"/>
      <c r="F254" s="147"/>
      <c r="G254" s="145"/>
      <c r="H254" s="145"/>
      <c r="I254" s="158"/>
      <c r="J254" s="93">
        <f t="shared" si="39"/>
        <v>0</v>
      </c>
      <c r="K254" s="99">
        <f>'1 Enterprises'!J$14</f>
        <v>32670</v>
      </c>
      <c r="L254" s="95">
        <f t="shared" si="40"/>
        <v>0</v>
      </c>
    </row>
    <row r="255" spans="2:12" ht="12.75">
      <c r="B255" s="31" t="s">
        <v>283</v>
      </c>
      <c r="C255" s="92" t="str">
        <f>'2 Income Statement'!B12</f>
        <v>Container Crop 8</v>
      </c>
      <c r="D255" s="145"/>
      <c r="E255" s="145"/>
      <c r="F255" s="147"/>
      <c r="G255" s="145"/>
      <c r="H255" s="145"/>
      <c r="I255" s="158"/>
      <c r="J255" s="93">
        <f t="shared" si="39"/>
        <v>0</v>
      </c>
      <c r="K255" s="100">
        <f>'1 Enterprises'!K$14</f>
        <v>14520</v>
      </c>
      <c r="L255" s="95">
        <f t="shared" si="40"/>
        <v>0</v>
      </c>
    </row>
    <row r="256" spans="2:12" ht="12.75">
      <c r="B256" s="31" t="s">
        <v>284</v>
      </c>
      <c r="C256" s="92" t="str">
        <f>'2 Income Statement'!B13</f>
        <v>Container Crop 9</v>
      </c>
      <c r="D256" s="145"/>
      <c r="E256" s="145"/>
      <c r="F256" s="147"/>
      <c r="G256" s="145"/>
      <c r="H256" s="145"/>
      <c r="I256" s="158"/>
      <c r="J256" s="93">
        <f t="shared" si="39"/>
        <v>0</v>
      </c>
      <c r="K256" s="100">
        <f>'1 Enterprises'!L$14</f>
        <v>6453.333333333333</v>
      </c>
      <c r="L256" s="95">
        <f t="shared" si="40"/>
        <v>0</v>
      </c>
    </row>
    <row r="257" spans="2:12" ht="12.75">
      <c r="B257" s="31" t="s">
        <v>285</v>
      </c>
      <c r="C257" s="92" t="str">
        <f>'2 Income Statement'!B14</f>
        <v>Field Crop 1</v>
      </c>
      <c r="D257" s="145"/>
      <c r="E257" s="145"/>
      <c r="F257" s="147"/>
      <c r="G257" s="145"/>
      <c r="H257" s="145"/>
      <c r="I257" s="158"/>
      <c r="J257" s="93">
        <f t="shared" si="39"/>
        <v>0</v>
      </c>
      <c r="K257" s="100">
        <f>'1 Enterprises'!M$14</f>
        <v>338.79999999999995</v>
      </c>
      <c r="L257" s="95">
        <f t="shared" si="40"/>
        <v>0</v>
      </c>
    </row>
    <row r="258" spans="2:12" ht="12.75">
      <c r="B258" s="31" t="s">
        <v>286</v>
      </c>
      <c r="C258" s="92" t="str">
        <f>'2 Income Statement'!B15</f>
        <v>Field Crop 2</v>
      </c>
      <c r="D258" s="145"/>
      <c r="E258" s="145"/>
      <c r="F258" s="147"/>
      <c r="G258" s="145"/>
      <c r="H258" s="145"/>
      <c r="I258" s="158"/>
      <c r="J258" s="93">
        <f t="shared" si="39"/>
        <v>0</v>
      </c>
      <c r="K258" s="100">
        <f>'1 Enterprises'!N$14</f>
        <v>338.79999999999995</v>
      </c>
      <c r="L258" s="95">
        <f t="shared" si="40"/>
        <v>0</v>
      </c>
    </row>
    <row r="259" spans="2:12" ht="12.75">
      <c r="B259" s="31" t="s">
        <v>287</v>
      </c>
      <c r="C259" s="92" t="str">
        <f>'2 Income Statement'!B16</f>
        <v>Field Crop 3</v>
      </c>
      <c r="D259" s="145"/>
      <c r="E259" s="145"/>
      <c r="F259" s="147"/>
      <c r="G259" s="145"/>
      <c r="H259" s="145"/>
      <c r="I259" s="158"/>
      <c r="J259" s="93">
        <f t="shared" si="39"/>
        <v>0</v>
      </c>
      <c r="K259" s="100">
        <f>'1 Enterprises'!O$14</f>
        <v>338.79999999999995</v>
      </c>
      <c r="L259" s="95">
        <f t="shared" si="40"/>
        <v>0</v>
      </c>
    </row>
    <row r="260" spans="2:12" ht="12.75">
      <c r="B260" s="31" t="s">
        <v>288</v>
      </c>
      <c r="C260" s="92" t="str">
        <f>'2 Income Statement'!B17</f>
        <v>Container Crop 10</v>
      </c>
      <c r="D260" s="145"/>
      <c r="E260" s="145"/>
      <c r="F260" s="147"/>
      <c r="G260" s="145"/>
      <c r="H260" s="145"/>
      <c r="I260" s="158"/>
      <c r="J260" s="93">
        <f t="shared" si="39"/>
        <v>0</v>
      </c>
      <c r="K260" s="100">
        <f>'1 Enterprises'!P$14</f>
        <v>32670</v>
      </c>
      <c r="L260" s="95">
        <f t="shared" si="40"/>
        <v>0</v>
      </c>
    </row>
    <row r="261" spans="2:12" ht="12.75">
      <c r="B261" s="31" t="s">
        <v>289</v>
      </c>
      <c r="C261" s="92" t="str">
        <f>'2 Income Statement'!B18</f>
        <v>Container Crop 11</v>
      </c>
      <c r="D261" s="145"/>
      <c r="E261" s="145"/>
      <c r="F261" s="147"/>
      <c r="G261" s="145"/>
      <c r="H261" s="145"/>
      <c r="I261" s="158"/>
      <c r="J261" s="93">
        <f>IF(G261&gt;0,(D261*(F261/G261)),0)</f>
        <v>0</v>
      </c>
      <c r="K261" s="100">
        <f>'1 Enterprises'!Q$14</f>
        <v>14520</v>
      </c>
      <c r="L261" s="95">
        <f>IF(K261&gt;0,((J261/K261)*I261),0)</f>
        <v>0</v>
      </c>
    </row>
    <row r="262" spans="2:12" ht="12.75">
      <c r="B262" s="31" t="s">
        <v>290</v>
      </c>
      <c r="C262" s="92" t="str">
        <f>'2 Income Statement'!B19</f>
        <v>Container Crop 12</v>
      </c>
      <c r="D262" s="145"/>
      <c r="E262" s="145"/>
      <c r="F262" s="147"/>
      <c r="G262" s="145"/>
      <c r="H262" s="145"/>
      <c r="I262" s="158"/>
      <c r="J262" s="93">
        <f aca="true" t="shared" si="41" ref="J262:J272">IF(G262&gt;0,(D262*(F262/G262)),0)</f>
        <v>0</v>
      </c>
      <c r="K262" s="100">
        <f>'1 Enterprises'!R$14</f>
        <v>6453.333333333333</v>
      </c>
      <c r="L262" s="95">
        <f aca="true" t="shared" si="42" ref="L262:L272">IF(K262&gt;0,((J262/K262)*I262),0)</f>
        <v>0</v>
      </c>
    </row>
    <row r="263" spans="2:12" ht="12.75">
      <c r="B263" s="31" t="s">
        <v>291</v>
      </c>
      <c r="C263" s="92" t="str">
        <f>'2 Income Statement'!B20</f>
        <v>Container Crop 13</v>
      </c>
      <c r="D263" s="145"/>
      <c r="E263" s="145"/>
      <c r="F263" s="147"/>
      <c r="G263" s="145"/>
      <c r="H263" s="145"/>
      <c r="I263" s="158"/>
      <c r="J263" s="93">
        <f t="shared" si="41"/>
        <v>0</v>
      </c>
      <c r="K263" s="100">
        <f>'1 Enterprises'!S$14</f>
        <v>32670</v>
      </c>
      <c r="L263" s="95">
        <f t="shared" si="42"/>
        <v>0</v>
      </c>
    </row>
    <row r="264" spans="2:12" ht="12.75">
      <c r="B264" s="31" t="s">
        <v>292</v>
      </c>
      <c r="C264" s="92" t="str">
        <f>'2 Income Statement'!B21</f>
        <v>Container Crop 14</v>
      </c>
      <c r="D264" s="145"/>
      <c r="E264" s="145"/>
      <c r="F264" s="147"/>
      <c r="G264" s="145"/>
      <c r="H264" s="145"/>
      <c r="I264" s="158"/>
      <c r="J264" s="93">
        <f t="shared" si="41"/>
        <v>0</v>
      </c>
      <c r="K264" s="100">
        <f>'1 Enterprises'!T$14</f>
        <v>14520</v>
      </c>
      <c r="L264" s="95">
        <f t="shared" si="42"/>
        <v>0</v>
      </c>
    </row>
    <row r="265" spans="2:12" ht="12.75">
      <c r="B265" s="31" t="s">
        <v>293</v>
      </c>
      <c r="C265" s="92" t="str">
        <f>'2 Income Statement'!B22</f>
        <v>Container Crop 15</v>
      </c>
      <c r="D265" s="145"/>
      <c r="E265" s="145"/>
      <c r="F265" s="147"/>
      <c r="G265" s="145"/>
      <c r="H265" s="145"/>
      <c r="I265" s="158"/>
      <c r="J265" s="93">
        <f t="shared" si="41"/>
        <v>0</v>
      </c>
      <c r="K265" s="100">
        <f>'1 Enterprises'!U$14</f>
        <v>6453.333333333333</v>
      </c>
      <c r="L265" s="95">
        <f t="shared" si="42"/>
        <v>0</v>
      </c>
    </row>
    <row r="266" spans="2:12" ht="12.75">
      <c r="B266" s="31" t="s">
        <v>294</v>
      </c>
      <c r="C266" s="92" t="str">
        <f>'2 Income Statement'!B23</f>
        <v>Container Crop 16</v>
      </c>
      <c r="D266" s="145"/>
      <c r="E266" s="145"/>
      <c r="F266" s="147"/>
      <c r="G266" s="145"/>
      <c r="H266" s="145"/>
      <c r="I266" s="158"/>
      <c r="J266" s="93">
        <f t="shared" si="41"/>
        <v>0</v>
      </c>
      <c r="K266" s="100">
        <f>'1 Enterprises'!V$14</f>
        <v>32670</v>
      </c>
      <c r="L266" s="95">
        <f t="shared" si="42"/>
        <v>0</v>
      </c>
    </row>
    <row r="267" spans="2:12" ht="12.75">
      <c r="B267" s="31" t="s">
        <v>295</v>
      </c>
      <c r="C267" s="92" t="str">
        <f>'2 Income Statement'!B24</f>
        <v>Container Crop 17</v>
      </c>
      <c r="D267" s="145"/>
      <c r="E267" s="145"/>
      <c r="F267" s="147"/>
      <c r="G267" s="145"/>
      <c r="H267" s="145"/>
      <c r="I267" s="158"/>
      <c r="J267" s="93">
        <f t="shared" si="41"/>
        <v>0</v>
      </c>
      <c r="K267" s="100">
        <f>'1 Enterprises'!W$14</f>
        <v>14520</v>
      </c>
      <c r="L267" s="95">
        <f t="shared" si="42"/>
        <v>0</v>
      </c>
    </row>
    <row r="268" spans="2:12" ht="12.75">
      <c r="B268" s="31" t="s">
        <v>296</v>
      </c>
      <c r="C268" s="92" t="str">
        <f>'2 Income Statement'!B25</f>
        <v>Container Crop 18</v>
      </c>
      <c r="D268" s="145"/>
      <c r="E268" s="145"/>
      <c r="F268" s="147"/>
      <c r="G268" s="145"/>
      <c r="H268" s="145"/>
      <c r="I268" s="158"/>
      <c r="J268" s="93">
        <f t="shared" si="41"/>
        <v>0</v>
      </c>
      <c r="K268" s="100">
        <f>'1 Enterprises'!X$14</f>
        <v>6453.333333333333</v>
      </c>
      <c r="L268" s="95">
        <f t="shared" si="42"/>
        <v>0</v>
      </c>
    </row>
    <row r="269" spans="2:12" ht="12.75">
      <c r="B269" s="31" t="s">
        <v>297</v>
      </c>
      <c r="C269" s="92" t="str">
        <f>'2 Income Statement'!B26</f>
        <v>Field Crop 4</v>
      </c>
      <c r="D269" s="145"/>
      <c r="E269" s="145"/>
      <c r="F269" s="147"/>
      <c r="G269" s="145"/>
      <c r="H269" s="145"/>
      <c r="I269" s="158"/>
      <c r="J269" s="93">
        <f t="shared" si="41"/>
        <v>0</v>
      </c>
      <c r="K269" s="100">
        <f>'1 Enterprises'!Y$14</f>
        <v>338.79999999999995</v>
      </c>
      <c r="L269" s="95">
        <f t="shared" si="42"/>
        <v>0</v>
      </c>
    </row>
    <row r="270" spans="2:12" ht="12.75">
      <c r="B270" s="31" t="s">
        <v>298</v>
      </c>
      <c r="C270" s="92" t="str">
        <f>'2 Income Statement'!B27</f>
        <v>Field Crop 5</v>
      </c>
      <c r="D270" s="145"/>
      <c r="E270" s="145"/>
      <c r="F270" s="147"/>
      <c r="G270" s="145"/>
      <c r="H270" s="145"/>
      <c r="I270" s="158"/>
      <c r="J270" s="93">
        <f t="shared" si="41"/>
        <v>0</v>
      </c>
      <c r="K270" s="100">
        <f>'1 Enterprises'!Z$14</f>
        <v>338.79999999999995</v>
      </c>
      <c r="L270" s="95">
        <f t="shared" si="42"/>
        <v>0</v>
      </c>
    </row>
    <row r="271" spans="2:12" ht="12.75">
      <c r="B271" s="31" t="s">
        <v>299</v>
      </c>
      <c r="C271" s="92" t="str">
        <f>'2 Income Statement'!B28</f>
        <v>Field Crop 6</v>
      </c>
      <c r="D271" s="145"/>
      <c r="E271" s="145"/>
      <c r="F271" s="147"/>
      <c r="G271" s="145"/>
      <c r="H271" s="145"/>
      <c r="I271" s="158"/>
      <c r="J271" s="93">
        <f t="shared" si="41"/>
        <v>0</v>
      </c>
      <c r="K271" s="100">
        <f>'1 Enterprises'!AA$14</f>
        <v>338.79999999999995</v>
      </c>
      <c r="L271" s="95">
        <f t="shared" si="42"/>
        <v>0</v>
      </c>
    </row>
    <row r="272" spans="2:12" ht="12.75">
      <c r="B272" s="31" t="s">
        <v>300</v>
      </c>
      <c r="C272" s="92" t="str">
        <f>'2 Income Statement'!B29</f>
        <v>Field Crop 7</v>
      </c>
      <c r="D272" s="145"/>
      <c r="E272" s="145"/>
      <c r="F272" s="147"/>
      <c r="G272" s="145"/>
      <c r="H272" s="145"/>
      <c r="I272" s="158"/>
      <c r="J272" s="93">
        <f t="shared" si="41"/>
        <v>0</v>
      </c>
      <c r="K272" s="100">
        <f>'1 Enterprises'!AB$14</f>
        <v>338.79999999999995</v>
      </c>
      <c r="L272" s="95">
        <f t="shared" si="42"/>
        <v>0</v>
      </c>
    </row>
  </sheetData>
  <sheetProtection sheet="1" objects="1" scenarios="1"/>
  <mergeCells count="11">
    <mergeCell ref="C85:L85"/>
    <mergeCell ref="N3:O4"/>
    <mergeCell ref="C220:L220"/>
    <mergeCell ref="C4:L4"/>
    <mergeCell ref="C31:L31"/>
    <mergeCell ref="C247:L247"/>
    <mergeCell ref="C112:L112"/>
    <mergeCell ref="C139:L139"/>
    <mergeCell ref="C166:L166"/>
    <mergeCell ref="C193:L193"/>
    <mergeCell ref="C58:L58"/>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1:N29"/>
  <sheetViews>
    <sheetView zoomScale="150" zoomScaleNormal="15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ols>
    <col min="1" max="1" width="2.28125" style="23" customWidth="1"/>
    <col min="2" max="2" width="6.00390625" style="23" customWidth="1"/>
    <col min="3" max="3" width="13.8515625" style="79" customWidth="1"/>
    <col min="4" max="4" width="11.7109375" style="23" customWidth="1"/>
    <col min="5" max="7" width="14.421875" style="23" customWidth="1"/>
    <col min="8" max="8" width="15.28125" style="23" customWidth="1"/>
    <col min="9" max="9" width="12.421875" style="23" customWidth="1"/>
    <col min="10" max="10" width="13.140625" style="23" customWidth="1"/>
    <col min="11" max="11" width="14.28125" style="23" bestFit="1" customWidth="1"/>
    <col min="12" max="16384" width="9.140625" style="23" customWidth="1"/>
  </cols>
  <sheetData>
    <row r="1" spans="2:14" ht="39.75" customHeight="1">
      <c r="B1" s="278" t="s">
        <v>348</v>
      </c>
      <c r="C1" s="279"/>
      <c r="D1" s="279"/>
      <c r="E1" s="279"/>
      <c r="F1" s="279"/>
      <c r="G1" s="279"/>
      <c r="H1" s="279"/>
      <c r="I1" s="279"/>
      <c r="J1" s="279"/>
      <c r="K1" s="279"/>
      <c r="L1" s="177"/>
      <c r="M1" s="177"/>
      <c r="N1" s="177"/>
    </row>
    <row r="2" spans="3:10" ht="51.75" thickBot="1">
      <c r="C2" s="78" t="s">
        <v>54</v>
      </c>
      <c r="D2" s="78" t="s">
        <v>215</v>
      </c>
      <c r="E2" s="78" t="s">
        <v>216</v>
      </c>
      <c r="F2" s="78" t="s">
        <v>13</v>
      </c>
      <c r="G2" s="78" t="s">
        <v>14</v>
      </c>
      <c r="H2" s="78" t="s">
        <v>9</v>
      </c>
      <c r="I2" s="78" t="s">
        <v>57</v>
      </c>
      <c r="J2" s="131"/>
    </row>
    <row r="3" spans="2:12" ht="25.5">
      <c r="B3" s="23" t="s">
        <v>276</v>
      </c>
      <c r="C3" s="196" t="str">
        <f>'2 Income Statement'!B5</f>
        <v>Container Crop 1</v>
      </c>
      <c r="D3" s="150">
        <v>0.0071</v>
      </c>
      <c r="E3" s="155">
        <v>45</v>
      </c>
      <c r="F3" s="268">
        <v>12</v>
      </c>
      <c r="G3" s="267">
        <v>0.9</v>
      </c>
      <c r="H3" s="267">
        <f>F3*G3</f>
        <v>10.8</v>
      </c>
      <c r="I3" s="80">
        <f>D3*(E3+H3)</f>
        <v>0.39618</v>
      </c>
      <c r="K3" s="129"/>
      <c r="L3" s="81"/>
    </row>
    <row r="4" spans="2:11" ht="24">
      <c r="B4" s="23" t="s">
        <v>277</v>
      </c>
      <c r="C4" s="197" t="str">
        <f>'2 Income Statement'!B6</f>
        <v>Container Crop 2</v>
      </c>
      <c r="D4" s="150">
        <v>0.0148</v>
      </c>
      <c r="E4" s="155">
        <f>E3</f>
        <v>45</v>
      </c>
      <c r="F4" s="268">
        <v>12</v>
      </c>
      <c r="G4" s="267">
        <v>0.9</v>
      </c>
      <c r="H4" s="267">
        <f aca="true" t="shared" si="0" ref="H4:H27">F4*G4</f>
        <v>10.8</v>
      </c>
      <c r="I4" s="80">
        <f aca="true" t="shared" si="1" ref="I4:I27">D4*(E4+H4)</f>
        <v>0.82584</v>
      </c>
      <c r="K4" s="81"/>
    </row>
    <row r="5" spans="2:11" ht="24">
      <c r="B5" s="23" t="s">
        <v>278</v>
      </c>
      <c r="C5" s="196" t="str">
        <f>'2 Income Statement'!B7</f>
        <v>Container Crop 3</v>
      </c>
      <c r="D5" s="150">
        <v>0.0476</v>
      </c>
      <c r="E5" s="155">
        <f aca="true" t="shared" si="2" ref="E5:E11">E4</f>
        <v>45</v>
      </c>
      <c r="F5" s="268"/>
      <c r="G5" s="267"/>
      <c r="H5" s="267">
        <f t="shared" si="0"/>
        <v>0</v>
      </c>
      <c r="I5" s="80">
        <f t="shared" si="1"/>
        <v>2.1420000000000003</v>
      </c>
      <c r="K5" s="81"/>
    </row>
    <row r="6" spans="2:11" ht="24">
      <c r="B6" s="23" t="s">
        <v>279</v>
      </c>
      <c r="C6" s="197" t="str">
        <f>'2 Income Statement'!B8</f>
        <v>Container Crop 4</v>
      </c>
      <c r="D6" s="150">
        <v>0.0071</v>
      </c>
      <c r="E6" s="155">
        <v>47</v>
      </c>
      <c r="F6" s="268"/>
      <c r="G6" s="267"/>
      <c r="H6" s="267">
        <f t="shared" si="0"/>
        <v>0</v>
      </c>
      <c r="I6" s="80">
        <f t="shared" si="1"/>
        <v>0.3337</v>
      </c>
      <c r="K6" s="129"/>
    </row>
    <row r="7" spans="2:9" ht="24">
      <c r="B7" s="23" t="s">
        <v>280</v>
      </c>
      <c r="C7" s="196" t="str">
        <f>'2 Income Statement'!B9</f>
        <v>Container Crop 5</v>
      </c>
      <c r="D7" s="150">
        <v>0.0148</v>
      </c>
      <c r="E7" s="155">
        <f t="shared" si="2"/>
        <v>47</v>
      </c>
      <c r="F7" s="268"/>
      <c r="G7" s="267"/>
      <c r="H7" s="267">
        <f t="shared" si="0"/>
        <v>0</v>
      </c>
      <c r="I7" s="80">
        <f t="shared" si="1"/>
        <v>0.6956</v>
      </c>
    </row>
    <row r="8" spans="2:9" ht="24">
      <c r="B8" s="23" t="s">
        <v>281</v>
      </c>
      <c r="C8" s="197" t="str">
        <f>'2 Income Statement'!B10</f>
        <v>Container Crop 6</v>
      </c>
      <c r="D8" s="150">
        <v>0.0476</v>
      </c>
      <c r="E8" s="155">
        <f t="shared" si="2"/>
        <v>47</v>
      </c>
      <c r="F8" s="268"/>
      <c r="G8" s="267"/>
      <c r="H8" s="267">
        <f t="shared" si="0"/>
        <v>0</v>
      </c>
      <c r="I8" s="80">
        <f t="shared" si="1"/>
        <v>2.2372</v>
      </c>
    </row>
    <row r="9" spans="2:9" ht="24">
      <c r="B9" s="23" t="s">
        <v>282</v>
      </c>
      <c r="C9" s="196" t="str">
        <f>'2 Income Statement'!B11</f>
        <v>Container Crop 7</v>
      </c>
      <c r="D9" s="150">
        <v>0.0071</v>
      </c>
      <c r="E9" s="155">
        <v>50</v>
      </c>
      <c r="F9" s="268"/>
      <c r="G9" s="267"/>
      <c r="H9" s="267">
        <f t="shared" si="0"/>
        <v>0</v>
      </c>
      <c r="I9" s="80">
        <f t="shared" si="1"/>
        <v>0.35500000000000004</v>
      </c>
    </row>
    <row r="10" spans="2:9" ht="24">
      <c r="B10" s="23" t="s">
        <v>283</v>
      </c>
      <c r="C10" s="196" t="str">
        <f>'2 Income Statement'!B12</f>
        <v>Container Crop 8</v>
      </c>
      <c r="D10" s="150">
        <v>0.0148</v>
      </c>
      <c r="E10" s="155">
        <f t="shared" si="2"/>
        <v>50</v>
      </c>
      <c r="F10" s="268"/>
      <c r="G10" s="267"/>
      <c r="H10" s="267">
        <f t="shared" si="0"/>
        <v>0</v>
      </c>
      <c r="I10" s="80">
        <f t="shared" si="1"/>
        <v>0.74</v>
      </c>
    </row>
    <row r="11" spans="2:9" ht="24">
      <c r="B11" s="23" t="s">
        <v>284</v>
      </c>
      <c r="C11" s="196" t="str">
        <f>'2 Income Statement'!B13</f>
        <v>Container Crop 9</v>
      </c>
      <c r="D11" s="150">
        <v>0.0476</v>
      </c>
      <c r="E11" s="155">
        <f t="shared" si="2"/>
        <v>50</v>
      </c>
      <c r="F11" s="268"/>
      <c r="G11" s="267"/>
      <c r="H11" s="267">
        <f t="shared" si="0"/>
        <v>0</v>
      </c>
      <c r="I11" s="80">
        <f t="shared" si="1"/>
        <v>2.3800000000000003</v>
      </c>
    </row>
    <row r="12" spans="2:9" ht="12.75">
      <c r="B12" s="23" t="s">
        <v>285</v>
      </c>
      <c r="C12" s="196" t="str">
        <f>'2 Income Statement'!B14</f>
        <v>Field Crop 1</v>
      </c>
      <c r="D12" s="150"/>
      <c r="E12" s="155"/>
      <c r="F12" s="268"/>
      <c r="G12" s="267"/>
      <c r="H12" s="267">
        <f t="shared" si="0"/>
        <v>0</v>
      </c>
      <c r="I12" s="80">
        <f t="shared" si="1"/>
        <v>0</v>
      </c>
    </row>
    <row r="13" spans="2:9" ht="12.75">
      <c r="B13" s="23" t="s">
        <v>286</v>
      </c>
      <c r="C13" s="196" t="str">
        <f>'2 Income Statement'!B15</f>
        <v>Field Crop 2</v>
      </c>
      <c r="D13" s="150"/>
      <c r="E13" s="155"/>
      <c r="F13" s="268"/>
      <c r="G13" s="267"/>
      <c r="H13" s="267">
        <f t="shared" si="0"/>
        <v>0</v>
      </c>
      <c r="I13" s="80">
        <f t="shared" si="1"/>
        <v>0</v>
      </c>
    </row>
    <row r="14" spans="2:9" ht="12.75">
      <c r="B14" s="23" t="s">
        <v>287</v>
      </c>
      <c r="C14" s="196" t="str">
        <f>'2 Income Statement'!B16</f>
        <v>Field Crop 3</v>
      </c>
      <c r="D14" s="150"/>
      <c r="E14" s="155"/>
      <c r="F14" s="268"/>
      <c r="G14" s="267"/>
      <c r="H14" s="267">
        <f t="shared" si="0"/>
        <v>0</v>
      </c>
      <c r="I14" s="80">
        <f t="shared" si="1"/>
        <v>0</v>
      </c>
    </row>
    <row r="15" spans="2:9" ht="24">
      <c r="B15" s="23" t="s">
        <v>288</v>
      </c>
      <c r="C15" s="196" t="str">
        <f>'2 Income Statement'!B17</f>
        <v>Container Crop 10</v>
      </c>
      <c r="D15" s="150"/>
      <c r="E15" s="155"/>
      <c r="F15" s="268"/>
      <c r="G15" s="267"/>
      <c r="H15" s="267">
        <f t="shared" si="0"/>
        <v>0</v>
      </c>
      <c r="I15" s="80">
        <f t="shared" si="1"/>
        <v>0</v>
      </c>
    </row>
    <row r="16" spans="2:9" ht="24">
      <c r="B16" s="23" t="s">
        <v>289</v>
      </c>
      <c r="C16" s="196" t="str">
        <f>'2 Income Statement'!B18</f>
        <v>Container Crop 11</v>
      </c>
      <c r="D16" s="150"/>
      <c r="E16" s="155"/>
      <c r="F16" s="268"/>
      <c r="G16" s="267"/>
      <c r="H16" s="267">
        <f t="shared" si="0"/>
        <v>0</v>
      </c>
      <c r="I16" s="80">
        <f t="shared" si="1"/>
        <v>0</v>
      </c>
    </row>
    <row r="17" spans="2:9" ht="24">
      <c r="B17" s="23" t="s">
        <v>290</v>
      </c>
      <c r="C17" s="196" t="str">
        <f>'2 Income Statement'!B19</f>
        <v>Container Crop 12</v>
      </c>
      <c r="D17" s="150"/>
      <c r="E17" s="155"/>
      <c r="F17" s="268"/>
      <c r="G17" s="267"/>
      <c r="H17" s="267">
        <f t="shared" si="0"/>
        <v>0</v>
      </c>
      <c r="I17" s="80">
        <f t="shared" si="1"/>
        <v>0</v>
      </c>
    </row>
    <row r="18" spans="2:9" ht="24">
      <c r="B18" s="23" t="s">
        <v>291</v>
      </c>
      <c r="C18" s="196" t="str">
        <f>'2 Income Statement'!B20</f>
        <v>Container Crop 13</v>
      </c>
      <c r="D18" s="150"/>
      <c r="E18" s="155"/>
      <c r="F18" s="268"/>
      <c r="G18" s="267"/>
      <c r="H18" s="267">
        <f t="shared" si="0"/>
        <v>0</v>
      </c>
      <c r="I18" s="80">
        <f t="shared" si="1"/>
        <v>0</v>
      </c>
    </row>
    <row r="19" spans="2:9" ht="24">
      <c r="B19" s="23" t="s">
        <v>292</v>
      </c>
      <c r="C19" s="196" t="str">
        <f>'2 Income Statement'!B21</f>
        <v>Container Crop 14</v>
      </c>
      <c r="D19" s="150"/>
      <c r="E19" s="155"/>
      <c r="F19" s="268"/>
      <c r="G19" s="267"/>
      <c r="H19" s="267">
        <f t="shared" si="0"/>
        <v>0</v>
      </c>
      <c r="I19" s="80">
        <f t="shared" si="1"/>
        <v>0</v>
      </c>
    </row>
    <row r="20" spans="2:9" ht="24">
      <c r="B20" s="23" t="s">
        <v>293</v>
      </c>
      <c r="C20" s="196" t="str">
        <f>'2 Income Statement'!B22</f>
        <v>Container Crop 15</v>
      </c>
      <c r="D20" s="150"/>
      <c r="E20" s="155"/>
      <c r="F20" s="268"/>
      <c r="G20" s="267"/>
      <c r="H20" s="267">
        <f t="shared" si="0"/>
        <v>0</v>
      </c>
      <c r="I20" s="80">
        <f t="shared" si="1"/>
        <v>0</v>
      </c>
    </row>
    <row r="21" spans="2:9" ht="24">
      <c r="B21" s="23" t="s">
        <v>294</v>
      </c>
      <c r="C21" s="196" t="str">
        <f>'2 Income Statement'!B23</f>
        <v>Container Crop 16</v>
      </c>
      <c r="D21" s="150"/>
      <c r="E21" s="155"/>
      <c r="F21" s="268"/>
      <c r="G21" s="267"/>
      <c r="H21" s="267">
        <f t="shared" si="0"/>
        <v>0</v>
      </c>
      <c r="I21" s="80">
        <f t="shared" si="1"/>
        <v>0</v>
      </c>
    </row>
    <row r="22" spans="2:9" ht="24">
      <c r="B22" s="23" t="s">
        <v>295</v>
      </c>
      <c r="C22" s="196" t="str">
        <f>'2 Income Statement'!B24</f>
        <v>Container Crop 17</v>
      </c>
      <c r="D22" s="150"/>
      <c r="E22" s="155"/>
      <c r="F22" s="268"/>
      <c r="G22" s="267"/>
      <c r="H22" s="267">
        <f t="shared" si="0"/>
        <v>0</v>
      </c>
      <c r="I22" s="80">
        <f t="shared" si="1"/>
        <v>0</v>
      </c>
    </row>
    <row r="23" spans="2:9" ht="24">
      <c r="B23" s="23" t="s">
        <v>296</v>
      </c>
      <c r="C23" s="196" t="str">
        <f>'2 Income Statement'!B25</f>
        <v>Container Crop 18</v>
      </c>
      <c r="D23" s="150"/>
      <c r="E23" s="155"/>
      <c r="F23" s="268"/>
      <c r="G23" s="267"/>
      <c r="H23" s="267">
        <f t="shared" si="0"/>
        <v>0</v>
      </c>
      <c r="I23" s="80">
        <f t="shared" si="1"/>
        <v>0</v>
      </c>
    </row>
    <row r="24" spans="2:9" ht="12.75">
      <c r="B24" s="23" t="s">
        <v>297</v>
      </c>
      <c r="C24" s="196" t="str">
        <f>'2 Income Statement'!B26</f>
        <v>Field Crop 4</v>
      </c>
      <c r="D24" s="150"/>
      <c r="E24" s="155"/>
      <c r="F24" s="268"/>
      <c r="G24" s="267"/>
      <c r="H24" s="267">
        <f t="shared" si="0"/>
        <v>0</v>
      </c>
      <c r="I24" s="80">
        <f t="shared" si="1"/>
        <v>0</v>
      </c>
    </row>
    <row r="25" spans="2:9" ht="12.75">
      <c r="B25" s="23" t="s">
        <v>298</v>
      </c>
      <c r="C25" s="196" t="str">
        <f>'2 Income Statement'!B27</f>
        <v>Field Crop 5</v>
      </c>
      <c r="D25" s="150"/>
      <c r="E25" s="155"/>
      <c r="F25" s="268"/>
      <c r="G25" s="267"/>
      <c r="H25" s="267">
        <f t="shared" si="0"/>
        <v>0</v>
      </c>
      <c r="I25" s="80">
        <f t="shared" si="1"/>
        <v>0</v>
      </c>
    </row>
    <row r="26" spans="2:9" ht="12.75">
      <c r="B26" s="23" t="s">
        <v>299</v>
      </c>
      <c r="C26" s="196" t="str">
        <f>'2 Income Statement'!B28</f>
        <v>Field Crop 6</v>
      </c>
      <c r="D26" s="150"/>
      <c r="E26" s="155"/>
      <c r="F26" s="268"/>
      <c r="G26" s="267"/>
      <c r="H26" s="267">
        <f t="shared" si="0"/>
        <v>0</v>
      </c>
      <c r="I26" s="80">
        <f t="shared" si="1"/>
        <v>0</v>
      </c>
    </row>
    <row r="27" spans="2:9" ht="12.75">
      <c r="B27" s="23" t="s">
        <v>300</v>
      </c>
      <c r="C27" s="196" t="str">
        <f>'2 Income Statement'!B29</f>
        <v>Field Crop 7</v>
      </c>
      <c r="D27" s="150"/>
      <c r="E27" s="155"/>
      <c r="F27" s="268"/>
      <c r="G27" s="267"/>
      <c r="H27" s="267">
        <f t="shared" si="0"/>
        <v>0</v>
      </c>
      <c r="I27" s="80">
        <f t="shared" si="1"/>
        <v>0</v>
      </c>
    </row>
    <row r="29" spans="3:9" s="79" customFormat="1" ht="12">
      <c r="C29" s="205" t="s">
        <v>43</v>
      </c>
      <c r="D29" s="205"/>
      <c r="E29" s="205"/>
      <c r="F29" s="205"/>
      <c r="G29" s="205"/>
      <c r="H29" s="205"/>
      <c r="I29" s="205"/>
    </row>
  </sheetData>
  <sheetProtection/>
  <mergeCells count="1">
    <mergeCell ref="B1:K1"/>
  </mergeCells>
  <printOptions/>
  <pageMargins left="0.75" right="0.75" top="1" bottom="1" header="0.5" footer="0.5"/>
  <pageSetup horizontalDpi="600" verticalDpi="600" orientation="portrait"/>
  <legacyDrawing r:id="rId2"/>
</worksheet>
</file>

<file path=xl/worksheets/sheet7.xml><?xml version="1.0" encoding="utf-8"?>
<worksheet xmlns="http://schemas.openxmlformats.org/spreadsheetml/2006/main" xmlns:r="http://schemas.openxmlformats.org/officeDocument/2006/relationships">
  <dimension ref="B1:O27"/>
  <sheetViews>
    <sheetView zoomScale="150" zoomScaleNormal="15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8.8515625" defaultRowHeight="12.75"/>
  <cols>
    <col min="1" max="1" width="2.28125" style="0" customWidth="1"/>
    <col min="3" max="3" width="22.421875" style="41" customWidth="1"/>
    <col min="4" max="4" width="10.421875" style="179" customWidth="1"/>
    <col min="5" max="5" width="16.7109375" style="41" customWidth="1"/>
    <col min="6" max="7" width="10.7109375" style="0" customWidth="1"/>
    <col min="8" max="8" width="11.28125" style="0" customWidth="1"/>
    <col min="9" max="9" width="18.28125" style="0" customWidth="1"/>
    <col min="10" max="10" width="13.140625" style="0" customWidth="1"/>
    <col min="11" max="11" width="10.28125" style="0" customWidth="1"/>
  </cols>
  <sheetData>
    <row r="1" spans="2:15" ht="18" customHeight="1">
      <c r="B1" s="175" t="s">
        <v>449</v>
      </c>
      <c r="C1" s="174"/>
      <c r="D1" s="176"/>
      <c r="E1" s="176"/>
      <c r="F1" s="176"/>
      <c r="G1" s="176"/>
      <c r="H1" s="176"/>
      <c r="I1" s="176"/>
      <c r="K1" s="136"/>
      <c r="L1" s="136"/>
      <c r="M1" s="136"/>
      <c r="N1" s="136"/>
      <c r="O1" s="82"/>
    </row>
    <row r="2" spans="2:15" s="41" customFormat="1" ht="63.75">
      <c r="B2" s="266"/>
      <c r="C2" s="48" t="s">
        <v>54</v>
      </c>
      <c r="D2" s="178" t="s">
        <v>402</v>
      </c>
      <c r="E2" s="48" t="s">
        <v>66</v>
      </c>
      <c r="F2" s="48" t="s">
        <v>106</v>
      </c>
      <c r="G2" s="48" t="s">
        <v>69</v>
      </c>
      <c r="H2" s="48" t="s">
        <v>65</v>
      </c>
      <c r="I2" s="48" t="s">
        <v>181</v>
      </c>
      <c r="J2" s="48" t="s">
        <v>180</v>
      </c>
      <c r="K2" s="48" t="s">
        <v>179</v>
      </c>
      <c r="L2" s="48" t="s">
        <v>178</v>
      </c>
      <c r="M2" s="134"/>
      <c r="N2" s="134"/>
      <c r="O2" s="83"/>
    </row>
    <row r="3" spans="2:15" ht="30">
      <c r="B3" t="s">
        <v>276</v>
      </c>
      <c r="C3" s="48" t="str">
        <f>'2 Income Statement'!B5</f>
        <v>Container Crop 1</v>
      </c>
      <c r="D3" s="154">
        <v>1</v>
      </c>
      <c r="E3" s="151" t="s">
        <v>68</v>
      </c>
      <c r="F3" s="155">
        <v>504.5</v>
      </c>
      <c r="G3" s="154">
        <v>3</v>
      </c>
      <c r="H3" s="154">
        <v>10600</v>
      </c>
      <c r="I3" s="156">
        <f>8/12</f>
        <v>0.6666666666666666</v>
      </c>
      <c r="J3" s="157">
        <v>0.95</v>
      </c>
      <c r="K3" s="88">
        <f>IF(I3&gt;0,((I3*I3)*J3),0)</f>
        <v>0.42222222222222217</v>
      </c>
      <c r="L3" s="88">
        <f>IF(H3&gt;0,(((F3/H3)*K3)/G3),0)*D3</f>
        <v>0.006698462613556951</v>
      </c>
      <c r="M3" s="137"/>
      <c r="N3" s="136"/>
      <c r="O3" s="84"/>
    </row>
    <row r="4" spans="2:15" ht="15">
      <c r="B4" t="s">
        <v>277</v>
      </c>
      <c r="C4" s="48" t="str">
        <f>'2 Income Statement'!B6</f>
        <v>Container Crop 2</v>
      </c>
      <c r="D4" s="154">
        <v>2</v>
      </c>
      <c r="E4" s="151" t="s">
        <v>67</v>
      </c>
      <c r="F4" s="155">
        <v>104</v>
      </c>
      <c r="G4" s="154">
        <v>1</v>
      </c>
      <c r="H4" s="154">
        <v>2400</v>
      </c>
      <c r="I4" s="156">
        <f>11.2/12</f>
        <v>0.9333333333333332</v>
      </c>
      <c r="J4" s="157">
        <v>0.95</v>
      </c>
      <c r="K4" s="88">
        <f aca="true" t="shared" si="0" ref="K4:K16">IF(I4&gt;0,((I4*I4)*J4),0)</f>
        <v>0.8275555555555554</v>
      </c>
      <c r="L4" s="88">
        <f aca="true" t="shared" si="1" ref="L4:L16">IF(H4&gt;0,(((F4/H4)*K4)/G4),0)*D4</f>
        <v>0.07172148148148147</v>
      </c>
      <c r="M4" s="136"/>
      <c r="N4" s="136"/>
      <c r="O4" s="84"/>
    </row>
    <row r="5" spans="2:15" ht="15">
      <c r="B5" t="s">
        <v>278</v>
      </c>
      <c r="C5" s="48" t="str">
        <f>'2 Income Statement'!B7</f>
        <v>Container Crop 3</v>
      </c>
      <c r="D5" s="154">
        <v>3</v>
      </c>
      <c r="E5" s="151" t="s">
        <v>67</v>
      </c>
      <c r="F5" s="155">
        <v>104</v>
      </c>
      <c r="G5" s="154">
        <v>1</v>
      </c>
      <c r="H5" s="154">
        <v>2400</v>
      </c>
      <c r="I5" s="156">
        <v>1.3125</v>
      </c>
      <c r="J5" s="157">
        <v>0.95</v>
      </c>
      <c r="K5" s="88">
        <f t="shared" si="0"/>
        <v>1.6365234375</v>
      </c>
      <c r="L5" s="88">
        <f t="shared" si="1"/>
        <v>0.21274804687499999</v>
      </c>
      <c r="M5" s="136"/>
      <c r="N5" s="136"/>
      <c r="O5" s="84"/>
    </row>
    <row r="6" spans="2:15" ht="15">
      <c r="B6" t="s">
        <v>279</v>
      </c>
      <c r="C6" s="48" t="str">
        <f>'2 Income Statement'!B8</f>
        <v>Container Crop 4</v>
      </c>
      <c r="D6" s="154">
        <v>1</v>
      </c>
      <c r="E6" s="151" t="s">
        <v>68</v>
      </c>
      <c r="F6" s="155">
        <v>504.5</v>
      </c>
      <c r="G6" s="154">
        <v>3</v>
      </c>
      <c r="H6" s="154">
        <v>10600</v>
      </c>
      <c r="I6" s="156">
        <f>8/12</f>
        <v>0.6666666666666666</v>
      </c>
      <c r="J6" s="157">
        <v>0.95</v>
      </c>
      <c r="K6" s="88">
        <f t="shared" si="0"/>
        <v>0.42222222222222217</v>
      </c>
      <c r="L6" s="88">
        <f t="shared" si="1"/>
        <v>0.006698462613556951</v>
      </c>
      <c r="M6" s="136"/>
      <c r="N6" s="136"/>
      <c r="O6" s="84"/>
    </row>
    <row r="7" spans="2:15" ht="15">
      <c r="B7" t="s">
        <v>280</v>
      </c>
      <c r="C7" s="48" t="str">
        <f>'2 Income Statement'!B9</f>
        <v>Container Crop 5</v>
      </c>
      <c r="D7" s="154">
        <v>2</v>
      </c>
      <c r="E7" s="151" t="s">
        <v>67</v>
      </c>
      <c r="F7" s="155">
        <v>104</v>
      </c>
      <c r="G7" s="154">
        <v>1</v>
      </c>
      <c r="H7" s="154">
        <v>2400</v>
      </c>
      <c r="I7" s="156">
        <f>11.2/12</f>
        <v>0.9333333333333332</v>
      </c>
      <c r="J7" s="157">
        <v>0.95</v>
      </c>
      <c r="K7" s="88">
        <f t="shared" si="0"/>
        <v>0.8275555555555554</v>
      </c>
      <c r="L7" s="88">
        <f t="shared" si="1"/>
        <v>0.07172148148148147</v>
      </c>
      <c r="M7" s="136"/>
      <c r="N7" s="136"/>
      <c r="O7" s="84"/>
    </row>
    <row r="8" spans="2:15" ht="15">
      <c r="B8" t="s">
        <v>281</v>
      </c>
      <c r="C8" s="48" t="str">
        <f>'2 Income Statement'!B10</f>
        <v>Container Crop 6</v>
      </c>
      <c r="D8" s="154">
        <v>3</v>
      </c>
      <c r="E8" s="151" t="s">
        <v>67</v>
      </c>
      <c r="F8" s="155">
        <v>104</v>
      </c>
      <c r="G8" s="154">
        <v>1</v>
      </c>
      <c r="H8" s="154">
        <v>2400</v>
      </c>
      <c r="I8" s="156">
        <v>1.3125</v>
      </c>
      <c r="J8" s="157">
        <v>0.95</v>
      </c>
      <c r="K8" s="88">
        <f t="shared" si="0"/>
        <v>1.6365234375</v>
      </c>
      <c r="L8" s="88">
        <f t="shared" si="1"/>
        <v>0.21274804687499999</v>
      </c>
      <c r="M8" s="136"/>
      <c r="N8" s="136"/>
      <c r="O8" s="84"/>
    </row>
    <row r="9" spans="2:15" ht="15">
      <c r="B9" t="s">
        <v>282</v>
      </c>
      <c r="C9" s="48" t="str">
        <f>'2 Income Statement'!B11</f>
        <v>Container Crop 7</v>
      </c>
      <c r="D9" s="154">
        <v>1</v>
      </c>
      <c r="E9" s="151" t="s">
        <v>68</v>
      </c>
      <c r="F9" s="155">
        <v>504.5</v>
      </c>
      <c r="G9" s="154">
        <v>3</v>
      </c>
      <c r="H9" s="154">
        <v>10600</v>
      </c>
      <c r="I9" s="156">
        <f>8/12</f>
        <v>0.6666666666666666</v>
      </c>
      <c r="J9" s="157">
        <v>0.95</v>
      </c>
      <c r="K9" s="88">
        <f t="shared" si="0"/>
        <v>0.42222222222222217</v>
      </c>
      <c r="L9" s="88">
        <f t="shared" si="1"/>
        <v>0.006698462613556951</v>
      </c>
      <c r="M9" s="136"/>
      <c r="N9" s="136"/>
      <c r="O9" s="84"/>
    </row>
    <row r="10" spans="2:15" ht="15">
      <c r="B10" t="s">
        <v>283</v>
      </c>
      <c r="C10" s="48" t="str">
        <f>'2 Income Statement'!B12</f>
        <v>Container Crop 8</v>
      </c>
      <c r="D10" s="154">
        <v>2</v>
      </c>
      <c r="E10" s="151" t="s">
        <v>67</v>
      </c>
      <c r="F10" s="155">
        <v>104</v>
      </c>
      <c r="G10" s="154">
        <v>1</v>
      </c>
      <c r="H10" s="154">
        <v>2400</v>
      </c>
      <c r="I10" s="156">
        <f>11.2/12</f>
        <v>0.9333333333333332</v>
      </c>
      <c r="J10" s="157">
        <v>0.95</v>
      </c>
      <c r="K10" s="88">
        <f t="shared" si="0"/>
        <v>0.8275555555555554</v>
      </c>
      <c r="L10" s="88">
        <f t="shared" si="1"/>
        <v>0.07172148148148147</v>
      </c>
      <c r="M10" s="136"/>
      <c r="N10" s="136"/>
      <c r="O10" s="84"/>
    </row>
    <row r="11" spans="2:15" ht="15">
      <c r="B11" t="s">
        <v>284</v>
      </c>
      <c r="C11" s="48" t="str">
        <f>'2 Income Statement'!B13</f>
        <v>Container Crop 9</v>
      </c>
      <c r="D11" s="154">
        <v>3</v>
      </c>
      <c r="E11" s="151" t="s">
        <v>67</v>
      </c>
      <c r="F11" s="155">
        <v>104</v>
      </c>
      <c r="G11" s="154">
        <v>1</v>
      </c>
      <c r="H11" s="154">
        <v>2400</v>
      </c>
      <c r="I11" s="156">
        <v>1.3125</v>
      </c>
      <c r="J11" s="157">
        <v>0.95</v>
      </c>
      <c r="K11" s="88">
        <f t="shared" si="0"/>
        <v>1.6365234375</v>
      </c>
      <c r="L11" s="88">
        <f t="shared" si="1"/>
        <v>0.21274804687499999</v>
      </c>
      <c r="M11" s="136"/>
      <c r="N11" s="136"/>
      <c r="O11" s="84"/>
    </row>
    <row r="12" spans="2:15" ht="15">
      <c r="B12" t="s">
        <v>285</v>
      </c>
      <c r="C12" s="48" t="str">
        <f>'2 Income Statement'!B14</f>
        <v>Field Crop 1</v>
      </c>
      <c r="D12" s="154"/>
      <c r="E12" s="151"/>
      <c r="F12" s="155"/>
      <c r="G12" s="154"/>
      <c r="H12" s="154"/>
      <c r="I12" s="156"/>
      <c r="J12" s="157"/>
      <c r="K12" s="88">
        <f t="shared" si="0"/>
        <v>0</v>
      </c>
      <c r="L12" s="88">
        <f t="shared" si="1"/>
        <v>0</v>
      </c>
      <c r="M12" s="136"/>
      <c r="N12" s="136"/>
      <c r="O12" s="84"/>
    </row>
    <row r="13" spans="2:15" ht="15">
      <c r="B13" t="s">
        <v>286</v>
      </c>
      <c r="C13" s="48" t="str">
        <f>'2 Income Statement'!B15</f>
        <v>Field Crop 2</v>
      </c>
      <c r="D13" s="154"/>
      <c r="E13" s="151"/>
      <c r="F13" s="155"/>
      <c r="G13" s="154"/>
      <c r="H13" s="154"/>
      <c r="I13" s="156"/>
      <c r="J13" s="157"/>
      <c r="K13" s="88">
        <f t="shared" si="0"/>
        <v>0</v>
      </c>
      <c r="L13" s="88">
        <f t="shared" si="1"/>
        <v>0</v>
      </c>
      <c r="M13" s="136"/>
      <c r="N13" s="136"/>
      <c r="O13" s="84"/>
    </row>
    <row r="14" spans="2:15" ht="15">
      <c r="B14" t="s">
        <v>287</v>
      </c>
      <c r="C14" s="48" t="str">
        <f>'2 Income Statement'!B16</f>
        <v>Field Crop 3</v>
      </c>
      <c r="D14" s="154"/>
      <c r="E14" s="151"/>
      <c r="F14" s="155"/>
      <c r="G14" s="154"/>
      <c r="H14" s="154"/>
      <c r="I14" s="156"/>
      <c r="J14" s="157"/>
      <c r="K14" s="88">
        <f t="shared" si="0"/>
        <v>0</v>
      </c>
      <c r="L14" s="88">
        <f t="shared" si="1"/>
        <v>0</v>
      </c>
      <c r="M14" s="136"/>
      <c r="N14" s="136"/>
      <c r="O14" s="84"/>
    </row>
    <row r="15" spans="2:15" ht="15">
      <c r="B15" t="s">
        <v>288</v>
      </c>
      <c r="C15" s="48" t="str">
        <f>'2 Income Statement'!B17</f>
        <v>Container Crop 10</v>
      </c>
      <c r="D15" s="154"/>
      <c r="E15" s="151"/>
      <c r="F15" s="155"/>
      <c r="G15" s="154"/>
      <c r="H15" s="154"/>
      <c r="I15" s="156"/>
      <c r="J15" s="157"/>
      <c r="K15" s="88">
        <f t="shared" si="0"/>
        <v>0</v>
      </c>
      <c r="L15" s="88">
        <f t="shared" si="1"/>
        <v>0</v>
      </c>
      <c r="M15" s="136"/>
      <c r="N15" s="136"/>
      <c r="O15" s="84"/>
    </row>
    <row r="16" spans="2:15" ht="15">
      <c r="B16" t="s">
        <v>289</v>
      </c>
      <c r="C16" s="48" t="str">
        <f>'2 Income Statement'!B18</f>
        <v>Container Crop 11</v>
      </c>
      <c r="D16" s="154"/>
      <c r="E16" s="151"/>
      <c r="F16" s="155"/>
      <c r="G16" s="154"/>
      <c r="H16" s="154"/>
      <c r="I16" s="156"/>
      <c r="J16" s="157"/>
      <c r="K16" s="88">
        <f t="shared" si="0"/>
        <v>0</v>
      </c>
      <c r="L16" s="88">
        <f t="shared" si="1"/>
        <v>0</v>
      </c>
      <c r="M16" s="136"/>
      <c r="N16" s="136"/>
      <c r="O16" s="84"/>
    </row>
    <row r="17" spans="2:15" ht="15">
      <c r="B17" t="s">
        <v>290</v>
      </c>
      <c r="C17" s="48" t="str">
        <f>'2 Income Statement'!B19</f>
        <v>Container Crop 12</v>
      </c>
      <c r="D17" s="154"/>
      <c r="E17" s="151"/>
      <c r="F17" s="155"/>
      <c r="G17" s="154"/>
      <c r="H17" s="154"/>
      <c r="I17" s="156"/>
      <c r="J17" s="157"/>
      <c r="K17" s="88">
        <f aca="true" t="shared" si="2" ref="K17:K27">IF(I17&gt;0,((I17*I17)*J17),0)</f>
        <v>0</v>
      </c>
      <c r="L17" s="88">
        <f aca="true" t="shared" si="3" ref="L17:L27">IF(H17&gt;0,(((F17/H17)*K17)/G17),0)*D17</f>
        <v>0</v>
      </c>
      <c r="M17" s="136"/>
      <c r="N17" s="136"/>
      <c r="O17" s="84"/>
    </row>
    <row r="18" spans="2:15" ht="15">
      <c r="B18" t="s">
        <v>291</v>
      </c>
      <c r="C18" s="48" t="str">
        <f>'2 Income Statement'!B20</f>
        <v>Container Crop 13</v>
      </c>
      <c r="D18" s="154"/>
      <c r="E18" s="151"/>
      <c r="F18" s="155"/>
      <c r="G18" s="154"/>
      <c r="H18" s="154"/>
      <c r="I18" s="156"/>
      <c r="J18" s="157"/>
      <c r="K18" s="88">
        <f t="shared" si="2"/>
        <v>0</v>
      </c>
      <c r="L18" s="88">
        <f t="shared" si="3"/>
        <v>0</v>
      </c>
      <c r="M18" s="136"/>
      <c r="N18" s="136"/>
      <c r="O18" s="84"/>
    </row>
    <row r="19" spans="2:15" ht="15">
      <c r="B19" t="s">
        <v>292</v>
      </c>
      <c r="C19" s="48" t="str">
        <f>'2 Income Statement'!B21</f>
        <v>Container Crop 14</v>
      </c>
      <c r="D19" s="154"/>
      <c r="E19" s="151"/>
      <c r="F19" s="155"/>
      <c r="G19" s="154"/>
      <c r="H19" s="154"/>
      <c r="I19" s="156"/>
      <c r="J19" s="157"/>
      <c r="K19" s="88">
        <f t="shared" si="2"/>
        <v>0</v>
      </c>
      <c r="L19" s="88">
        <f t="shared" si="3"/>
        <v>0</v>
      </c>
      <c r="M19" s="136"/>
      <c r="N19" s="136"/>
      <c r="O19" s="84"/>
    </row>
    <row r="20" spans="2:15" ht="15">
      <c r="B20" t="s">
        <v>293</v>
      </c>
      <c r="C20" s="48" t="str">
        <f>'2 Income Statement'!B22</f>
        <v>Container Crop 15</v>
      </c>
      <c r="D20" s="154"/>
      <c r="E20" s="151"/>
      <c r="F20" s="155"/>
      <c r="G20" s="154"/>
      <c r="H20" s="154"/>
      <c r="I20" s="156"/>
      <c r="J20" s="157"/>
      <c r="K20" s="88">
        <f t="shared" si="2"/>
        <v>0</v>
      </c>
      <c r="L20" s="88">
        <f t="shared" si="3"/>
        <v>0</v>
      </c>
      <c r="M20" s="136"/>
      <c r="N20" s="136"/>
      <c r="O20" s="84"/>
    </row>
    <row r="21" spans="2:15" ht="15">
      <c r="B21" t="s">
        <v>294</v>
      </c>
      <c r="C21" s="48" t="str">
        <f>'2 Income Statement'!B23</f>
        <v>Container Crop 16</v>
      </c>
      <c r="D21" s="154"/>
      <c r="E21" s="151"/>
      <c r="F21" s="155"/>
      <c r="G21" s="154"/>
      <c r="H21" s="154"/>
      <c r="I21" s="156"/>
      <c r="J21" s="157"/>
      <c r="K21" s="88">
        <f t="shared" si="2"/>
        <v>0</v>
      </c>
      <c r="L21" s="88">
        <f t="shared" si="3"/>
        <v>0</v>
      </c>
      <c r="M21" s="136"/>
      <c r="N21" s="136"/>
      <c r="O21" s="84"/>
    </row>
    <row r="22" spans="2:15" ht="15">
      <c r="B22" t="s">
        <v>295</v>
      </c>
      <c r="C22" s="48" t="str">
        <f>'2 Income Statement'!B24</f>
        <v>Container Crop 17</v>
      </c>
      <c r="D22" s="154"/>
      <c r="E22" s="151"/>
      <c r="F22" s="155"/>
      <c r="G22" s="154"/>
      <c r="H22" s="154"/>
      <c r="I22" s="156"/>
      <c r="J22" s="157"/>
      <c r="K22" s="88">
        <f t="shared" si="2"/>
        <v>0</v>
      </c>
      <c r="L22" s="88">
        <f t="shared" si="3"/>
        <v>0</v>
      </c>
      <c r="M22" s="136"/>
      <c r="N22" s="136"/>
      <c r="O22" s="84"/>
    </row>
    <row r="23" spans="2:15" ht="15">
      <c r="B23" t="s">
        <v>296</v>
      </c>
      <c r="C23" s="48" t="str">
        <f>'2 Income Statement'!B25</f>
        <v>Container Crop 18</v>
      </c>
      <c r="D23" s="154"/>
      <c r="E23" s="151"/>
      <c r="F23" s="155"/>
      <c r="G23" s="154"/>
      <c r="H23" s="154"/>
      <c r="I23" s="156"/>
      <c r="J23" s="157"/>
      <c r="K23" s="88">
        <f t="shared" si="2"/>
        <v>0</v>
      </c>
      <c r="L23" s="88">
        <f t="shared" si="3"/>
        <v>0</v>
      </c>
      <c r="M23" s="136"/>
      <c r="N23" s="136"/>
      <c r="O23" s="84"/>
    </row>
    <row r="24" spans="2:15" ht="15">
      <c r="B24" t="s">
        <v>297</v>
      </c>
      <c r="C24" s="48" t="str">
        <f>'2 Income Statement'!B26</f>
        <v>Field Crop 4</v>
      </c>
      <c r="D24" s="154"/>
      <c r="E24" s="151"/>
      <c r="F24" s="155"/>
      <c r="G24" s="154"/>
      <c r="H24" s="154"/>
      <c r="I24" s="156"/>
      <c r="J24" s="157"/>
      <c r="K24" s="88">
        <f t="shared" si="2"/>
        <v>0</v>
      </c>
      <c r="L24" s="88">
        <f t="shared" si="3"/>
        <v>0</v>
      </c>
      <c r="M24" s="136"/>
      <c r="N24" s="136"/>
      <c r="O24" s="84"/>
    </row>
    <row r="25" spans="2:15" ht="15">
      <c r="B25" t="s">
        <v>298</v>
      </c>
      <c r="C25" s="48" t="str">
        <f>'2 Income Statement'!B27</f>
        <v>Field Crop 5</v>
      </c>
      <c r="D25" s="154"/>
      <c r="E25" s="151"/>
      <c r="F25" s="155"/>
      <c r="G25" s="154"/>
      <c r="H25" s="154"/>
      <c r="I25" s="156"/>
      <c r="J25" s="157"/>
      <c r="K25" s="88">
        <f t="shared" si="2"/>
        <v>0</v>
      </c>
      <c r="L25" s="88">
        <f t="shared" si="3"/>
        <v>0</v>
      </c>
      <c r="M25" s="136"/>
      <c r="N25" s="136"/>
      <c r="O25" s="84"/>
    </row>
    <row r="26" spans="2:15" ht="15">
      <c r="B26" t="s">
        <v>299</v>
      </c>
      <c r="C26" s="48" t="str">
        <f>'2 Income Statement'!B28</f>
        <v>Field Crop 6</v>
      </c>
      <c r="D26" s="154"/>
      <c r="E26" s="151"/>
      <c r="F26" s="155"/>
      <c r="G26" s="154"/>
      <c r="H26" s="154"/>
      <c r="I26" s="156"/>
      <c r="J26" s="157"/>
      <c r="K26" s="88">
        <f t="shared" si="2"/>
        <v>0</v>
      </c>
      <c r="L26" s="88">
        <f t="shared" si="3"/>
        <v>0</v>
      </c>
      <c r="M26" s="136"/>
      <c r="N26" s="136"/>
      <c r="O26" s="84"/>
    </row>
    <row r="27" spans="2:15" ht="15">
      <c r="B27" t="s">
        <v>300</v>
      </c>
      <c r="C27" s="48" t="str">
        <f>'2 Income Statement'!B29</f>
        <v>Field Crop 7</v>
      </c>
      <c r="D27" s="154"/>
      <c r="E27" s="151"/>
      <c r="F27" s="155"/>
      <c r="G27" s="154"/>
      <c r="H27" s="154"/>
      <c r="I27" s="156"/>
      <c r="J27" s="157"/>
      <c r="K27" s="88">
        <f t="shared" si="2"/>
        <v>0</v>
      </c>
      <c r="L27" s="88">
        <f t="shared" si="3"/>
        <v>0</v>
      </c>
      <c r="M27" s="136"/>
      <c r="N27" s="136"/>
      <c r="O27" s="84"/>
    </row>
  </sheetData>
  <sheetProtection sheet="1" objects="1" scenarios="1"/>
  <printOptions/>
  <pageMargins left="0.75" right="0.75" top="1" bottom="1" header="0.5" footer="0.5"/>
  <pageSetup orientation="portrait"/>
  <legacyDrawing r:id="rId2"/>
</worksheet>
</file>

<file path=xl/worksheets/sheet8.xml><?xml version="1.0" encoding="utf-8"?>
<worksheet xmlns="http://schemas.openxmlformats.org/spreadsheetml/2006/main" xmlns:r="http://schemas.openxmlformats.org/officeDocument/2006/relationships">
  <dimension ref="B1:K63"/>
  <sheetViews>
    <sheetView zoomScale="150" zoomScaleNormal="15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3.28125" style="30" customWidth="1"/>
    <col min="2" max="2" width="37.7109375" style="30" customWidth="1"/>
    <col min="3" max="9" width="12.7109375" style="30" customWidth="1"/>
    <col min="10" max="10" width="12.7109375" style="123" customWidth="1"/>
    <col min="11" max="13" width="12.7109375" style="30" customWidth="1"/>
    <col min="14" max="16384" width="9.140625" style="30" customWidth="1"/>
  </cols>
  <sheetData>
    <row r="1" spans="2:10" ht="18" customHeight="1">
      <c r="B1" s="164" t="s">
        <v>349</v>
      </c>
      <c r="C1" s="280" t="s">
        <v>173</v>
      </c>
      <c r="D1" s="281"/>
      <c r="E1" s="281"/>
      <c r="F1" s="281"/>
      <c r="G1" s="281"/>
      <c r="H1" s="281"/>
      <c r="I1" s="281"/>
      <c r="J1" s="281"/>
    </row>
    <row r="2" spans="3:10" ht="15.75">
      <c r="C2" s="282" t="s">
        <v>330</v>
      </c>
      <c r="D2" s="283"/>
      <c r="E2" s="283"/>
      <c r="F2" s="283"/>
      <c r="G2" s="283"/>
      <c r="H2" s="283"/>
      <c r="I2" s="283"/>
      <c r="J2" s="283"/>
    </row>
    <row r="3" spans="2:11" ht="39" thickBot="1">
      <c r="B3" s="17" t="s">
        <v>113</v>
      </c>
      <c r="C3" s="48" t="s">
        <v>114</v>
      </c>
      <c r="D3" s="48" t="s">
        <v>233</v>
      </c>
      <c r="E3" s="48" t="s">
        <v>234</v>
      </c>
      <c r="F3" s="48" t="s">
        <v>235</v>
      </c>
      <c r="G3" s="48" t="s">
        <v>236</v>
      </c>
      <c r="H3" s="48" t="s">
        <v>182</v>
      </c>
      <c r="J3" s="138" t="s">
        <v>178</v>
      </c>
      <c r="K3" s="31"/>
    </row>
    <row r="4" spans="2:11" ht="17.25" thickBot="1" thickTop="1">
      <c r="B4" s="132" t="s">
        <v>118</v>
      </c>
      <c r="C4" s="154">
        <v>10</v>
      </c>
      <c r="D4" s="161">
        <v>3</v>
      </c>
      <c r="E4" s="162">
        <f>C4*D4</f>
        <v>30</v>
      </c>
      <c r="F4" s="155">
        <f>10*1.15</f>
        <v>11.5</v>
      </c>
      <c r="G4" s="163">
        <f>E4*F4</f>
        <v>345</v>
      </c>
      <c r="H4" s="154">
        <v>5000</v>
      </c>
      <c r="J4" s="140">
        <f>G4/H4</f>
        <v>0.069</v>
      </c>
      <c r="K4" s="31"/>
    </row>
    <row r="5" spans="2:11" ht="17.25" thickBot="1" thickTop="1">
      <c r="B5" s="132" t="s">
        <v>119</v>
      </c>
      <c r="C5" s="154">
        <v>10</v>
      </c>
      <c r="D5" s="161">
        <v>3.25</v>
      </c>
      <c r="E5" s="162">
        <f>C5*D5</f>
        <v>32.5</v>
      </c>
      <c r="F5" s="155">
        <f>10*1.15</f>
        <v>11.5</v>
      </c>
      <c r="G5" s="163">
        <f>E5*F5</f>
        <v>373.75</v>
      </c>
      <c r="H5" s="154">
        <v>5000</v>
      </c>
      <c r="J5" s="140">
        <f>G5/H5</f>
        <v>0.07475</v>
      </c>
      <c r="K5" s="31"/>
    </row>
    <row r="6" spans="2:11" ht="17.25" thickBot="1" thickTop="1">
      <c r="B6" s="132" t="s">
        <v>120</v>
      </c>
      <c r="C6" s="154">
        <v>10</v>
      </c>
      <c r="D6" s="161">
        <v>3.5</v>
      </c>
      <c r="E6" s="162">
        <f>C6*D6</f>
        <v>35</v>
      </c>
      <c r="F6" s="155">
        <f>10*1.15</f>
        <v>11.5</v>
      </c>
      <c r="G6" s="163">
        <f>E6*F6</f>
        <v>402.5</v>
      </c>
      <c r="H6" s="154">
        <v>5000</v>
      </c>
      <c r="J6" s="140">
        <f>G6/H6</f>
        <v>0.0805</v>
      </c>
      <c r="K6" s="31"/>
    </row>
    <row r="7" spans="2:11" ht="16.5" thickBot="1" thickTop="1">
      <c r="B7" s="132" t="s">
        <v>121</v>
      </c>
      <c r="C7" s="154">
        <v>10</v>
      </c>
      <c r="D7" s="161">
        <v>4</v>
      </c>
      <c r="E7" s="162">
        <f>C7*D7</f>
        <v>40</v>
      </c>
      <c r="F7" s="155">
        <f>10*1.15</f>
        <v>11.5</v>
      </c>
      <c r="G7" s="163">
        <f>E7*F7</f>
        <v>460</v>
      </c>
      <c r="H7" s="154">
        <v>5000</v>
      </c>
      <c r="J7" s="140">
        <f>G7/H7</f>
        <v>0.092</v>
      </c>
      <c r="K7" s="31"/>
    </row>
    <row r="8" spans="2:11" ht="16.5" thickBot="1" thickTop="1">
      <c r="B8" s="132" t="s">
        <v>176</v>
      </c>
      <c r="C8" s="154">
        <v>3</v>
      </c>
      <c r="D8" s="161">
        <v>6</v>
      </c>
      <c r="E8" s="162">
        <f>C8*D8</f>
        <v>18</v>
      </c>
      <c r="F8" s="155">
        <f>10*1.15</f>
        <v>11.5</v>
      </c>
      <c r="G8" s="163">
        <f>E8*F8</f>
        <v>207</v>
      </c>
      <c r="H8" s="154">
        <v>5000</v>
      </c>
      <c r="J8" s="140">
        <f>G8/H8</f>
        <v>0.0414</v>
      </c>
      <c r="K8" s="31"/>
    </row>
    <row r="9" spans="2:11" ht="15.75" thickTop="1">
      <c r="B9" s="132"/>
      <c r="C9" s="139"/>
      <c r="D9" s="139"/>
      <c r="E9" s="139"/>
      <c r="F9" s="139"/>
      <c r="G9" s="139"/>
      <c r="H9" s="139"/>
      <c r="I9" s="139"/>
      <c r="J9" s="160"/>
      <c r="K9" s="31"/>
    </row>
    <row r="10" spans="2:11" ht="15">
      <c r="B10" s="132"/>
      <c r="C10" s="139"/>
      <c r="D10" s="139"/>
      <c r="E10" s="139"/>
      <c r="F10" s="139"/>
      <c r="G10" s="139"/>
      <c r="H10" s="139"/>
      <c r="I10" s="139"/>
      <c r="J10" s="141"/>
      <c r="K10" s="31"/>
    </row>
    <row r="11" spans="2:11" ht="15">
      <c r="B11" s="17" t="s">
        <v>174</v>
      </c>
      <c r="C11" s="48"/>
      <c r="D11" s="48"/>
      <c r="E11" s="48"/>
      <c r="F11" s="48"/>
      <c r="G11" s="48"/>
      <c r="H11" s="48"/>
      <c r="I11" s="48"/>
      <c r="J11" s="142"/>
      <c r="K11" s="31"/>
    </row>
    <row r="12" spans="2:11" ht="36.75">
      <c r="B12" s="132" t="s">
        <v>122</v>
      </c>
      <c r="C12" s="48" t="s">
        <v>114</v>
      </c>
      <c r="D12" s="48" t="s">
        <v>233</v>
      </c>
      <c r="E12" s="48" t="s">
        <v>234</v>
      </c>
      <c r="F12" s="48" t="s">
        <v>235</v>
      </c>
      <c r="G12" s="48" t="s">
        <v>236</v>
      </c>
      <c r="H12" s="48" t="s">
        <v>182</v>
      </c>
      <c r="I12" s="48" t="s">
        <v>237</v>
      </c>
      <c r="J12" s="138" t="s">
        <v>178</v>
      </c>
      <c r="K12" s="31"/>
    </row>
    <row r="13" spans="2:11" ht="15">
      <c r="B13" s="132" t="s">
        <v>123</v>
      </c>
      <c r="C13" s="154">
        <v>10</v>
      </c>
      <c r="D13" s="161">
        <v>2</v>
      </c>
      <c r="E13" s="162">
        <f>C13*D13</f>
        <v>20</v>
      </c>
      <c r="F13" s="155">
        <f>10*1.15</f>
        <v>11.5</v>
      </c>
      <c r="G13" s="163">
        <f>E13*F13</f>
        <v>230</v>
      </c>
      <c r="H13" s="154">
        <v>5000</v>
      </c>
      <c r="I13" s="154">
        <v>0</v>
      </c>
      <c r="J13" s="142">
        <f>G13/H13*I13</f>
        <v>0</v>
      </c>
      <c r="K13" s="31"/>
    </row>
    <row r="14" spans="2:11" ht="15">
      <c r="B14" s="132" t="s">
        <v>124</v>
      </c>
      <c r="C14" s="154">
        <v>1</v>
      </c>
      <c r="D14" s="161">
        <v>3</v>
      </c>
      <c r="E14" s="162">
        <f aca="true" t="shared" si="0" ref="E14:E21">C14*D14</f>
        <v>3</v>
      </c>
      <c r="F14" s="155">
        <f aca="true" t="shared" si="1" ref="F14:F22">10*1.15</f>
        <v>11.5</v>
      </c>
      <c r="G14" s="163">
        <f aca="true" t="shared" si="2" ref="G14:G21">E14*F14</f>
        <v>34.5</v>
      </c>
      <c r="H14" s="154">
        <v>5000</v>
      </c>
      <c r="I14" s="154">
        <v>6</v>
      </c>
      <c r="J14" s="142">
        <f aca="true" t="shared" si="3" ref="J14:J22">G14/H14*I14</f>
        <v>0.0414</v>
      </c>
      <c r="K14" s="31"/>
    </row>
    <row r="15" spans="2:11" ht="15">
      <c r="B15" s="132" t="s">
        <v>125</v>
      </c>
      <c r="C15" s="154">
        <v>3</v>
      </c>
      <c r="D15" s="161">
        <v>1</v>
      </c>
      <c r="E15" s="162">
        <f t="shared" si="0"/>
        <v>3</v>
      </c>
      <c r="F15" s="155">
        <f t="shared" si="1"/>
        <v>11.5</v>
      </c>
      <c r="G15" s="163">
        <f t="shared" si="2"/>
        <v>34.5</v>
      </c>
      <c r="H15" s="154">
        <v>5000</v>
      </c>
      <c r="I15" s="154">
        <v>0</v>
      </c>
      <c r="J15" s="142">
        <f t="shared" si="3"/>
        <v>0</v>
      </c>
      <c r="K15" s="31"/>
    </row>
    <row r="16" spans="2:11" ht="15">
      <c r="B16" s="132" t="s">
        <v>126</v>
      </c>
      <c r="C16" s="154">
        <v>1</v>
      </c>
      <c r="D16" s="161">
        <v>3</v>
      </c>
      <c r="E16" s="162">
        <f t="shared" si="0"/>
        <v>3</v>
      </c>
      <c r="F16" s="155">
        <f t="shared" si="1"/>
        <v>11.5</v>
      </c>
      <c r="G16" s="163">
        <f t="shared" si="2"/>
        <v>34.5</v>
      </c>
      <c r="H16" s="154">
        <v>5000</v>
      </c>
      <c r="I16" s="154">
        <v>3</v>
      </c>
      <c r="J16" s="142">
        <f t="shared" si="3"/>
        <v>0.0207</v>
      </c>
      <c r="K16" s="31"/>
    </row>
    <row r="17" spans="2:11" ht="15">
      <c r="B17" s="132" t="s">
        <v>127</v>
      </c>
      <c r="C17" s="154">
        <v>3</v>
      </c>
      <c r="D17" s="161">
        <v>2</v>
      </c>
      <c r="E17" s="162">
        <f t="shared" si="0"/>
        <v>6</v>
      </c>
      <c r="F17" s="155">
        <f t="shared" si="1"/>
        <v>11.5</v>
      </c>
      <c r="G17" s="163">
        <f t="shared" si="2"/>
        <v>69</v>
      </c>
      <c r="H17" s="154">
        <v>5000</v>
      </c>
      <c r="I17" s="154">
        <v>0</v>
      </c>
      <c r="J17" s="142">
        <f t="shared" si="3"/>
        <v>0</v>
      </c>
      <c r="K17" s="31"/>
    </row>
    <row r="18" spans="2:11" ht="15">
      <c r="B18" s="132" t="s">
        <v>128</v>
      </c>
      <c r="C18" s="154">
        <v>10</v>
      </c>
      <c r="D18" s="161">
        <v>2</v>
      </c>
      <c r="E18" s="162">
        <f t="shared" si="0"/>
        <v>20</v>
      </c>
      <c r="F18" s="155">
        <f t="shared" si="1"/>
        <v>11.5</v>
      </c>
      <c r="G18" s="163">
        <f t="shared" si="2"/>
        <v>230</v>
      </c>
      <c r="H18" s="154">
        <v>5000</v>
      </c>
      <c r="I18" s="154">
        <v>0</v>
      </c>
      <c r="J18" s="142">
        <f t="shared" si="3"/>
        <v>0</v>
      </c>
      <c r="K18" s="31"/>
    </row>
    <row r="19" spans="2:11" ht="15">
      <c r="B19" s="132" t="s">
        <v>403</v>
      </c>
      <c r="C19" s="154">
        <v>5</v>
      </c>
      <c r="D19" s="161">
        <v>0.5</v>
      </c>
      <c r="E19" s="162">
        <f t="shared" si="0"/>
        <v>2.5</v>
      </c>
      <c r="F19" s="155">
        <f t="shared" si="1"/>
        <v>11.5</v>
      </c>
      <c r="G19" s="163">
        <f t="shared" si="2"/>
        <v>28.75</v>
      </c>
      <c r="H19" s="154">
        <v>5000</v>
      </c>
      <c r="I19" s="154">
        <v>0</v>
      </c>
      <c r="J19" s="142">
        <f t="shared" si="3"/>
        <v>0</v>
      </c>
      <c r="K19" s="31"/>
    </row>
    <row r="20" spans="2:11" ht="15">
      <c r="B20" s="132" t="s">
        <v>404</v>
      </c>
      <c r="C20" s="154">
        <v>3</v>
      </c>
      <c r="D20" s="161">
        <v>0.15</v>
      </c>
      <c r="E20" s="162">
        <f>C20*D20</f>
        <v>0.44999999999999996</v>
      </c>
      <c r="F20" s="155">
        <f t="shared" si="1"/>
        <v>11.5</v>
      </c>
      <c r="G20" s="163">
        <f>E20*F20</f>
        <v>5.175</v>
      </c>
      <c r="H20" s="154">
        <v>5000</v>
      </c>
      <c r="I20" s="154">
        <v>0</v>
      </c>
      <c r="J20" s="142">
        <f t="shared" si="3"/>
        <v>0</v>
      </c>
      <c r="K20" s="31"/>
    </row>
    <row r="21" spans="2:11" ht="15">
      <c r="B21" s="132" t="s">
        <v>405</v>
      </c>
      <c r="C21" s="154">
        <v>10</v>
      </c>
      <c r="D21" s="161">
        <v>2</v>
      </c>
      <c r="E21" s="162">
        <f t="shared" si="0"/>
        <v>20</v>
      </c>
      <c r="F21" s="155">
        <f t="shared" si="1"/>
        <v>11.5</v>
      </c>
      <c r="G21" s="163">
        <f t="shared" si="2"/>
        <v>230</v>
      </c>
      <c r="H21" s="154">
        <v>5000</v>
      </c>
      <c r="I21" s="154">
        <v>0</v>
      </c>
      <c r="J21" s="142">
        <f t="shared" si="3"/>
        <v>0</v>
      </c>
      <c r="K21" s="31"/>
    </row>
    <row r="22" spans="2:11" ht="15.75" thickBot="1">
      <c r="B22" s="132" t="s">
        <v>129</v>
      </c>
      <c r="C22" s="154">
        <v>5</v>
      </c>
      <c r="D22" s="161">
        <v>2</v>
      </c>
      <c r="E22" s="162">
        <f>C22*D22</f>
        <v>10</v>
      </c>
      <c r="F22" s="155">
        <f t="shared" si="1"/>
        <v>11.5</v>
      </c>
      <c r="G22" s="163">
        <f>E22*F22</f>
        <v>115</v>
      </c>
      <c r="H22" s="154">
        <v>5000</v>
      </c>
      <c r="I22" s="154">
        <v>2</v>
      </c>
      <c r="J22" s="142">
        <f t="shared" si="3"/>
        <v>0.046</v>
      </c>
      <c r="K22" s="31"/>
    </row>
    <row r="23" spans="2:11" ht="16.5" thickBot="1" thickTop="1">
      <c r="B23" s="132"/>
      <c r="C23" s="48"/>
      <c r="D23" s="48"/>
      <c r="E23" s="48"/>
      <c r="F23" s="48"/>
      <c r="G23" s="284" t="s">
        <v>130</v>
      </c>
      <c r="H23" s="285"/>
      <c r="I23" s="286"/>
      <c r="J23" s="140">
        <f>SUM(J13:J22)</f>
        <v>0.1081</v>
      </c>
      <c r="K23" s="31"/>
    </row>
    <row r="24" spans="2:11" ht="15.75" thickTop="1">
      <c r="B24" s="31"/>
      <c r="C24" s="39"/>
      <c r="D24" s="39"/>
      <c r="E24" s="39"/>
      <c r="F24" s="39"/>
      <c r="G24" s="39"/>
      <c r="H24" s="39"/>
      <c r="I24" s="39"/>
      <c r="J24" s="143"/>
      <c r="K24" s="31"/>
    </row>
    <row r="25" spans="2:11" ht="37.5" thickBot="1">
      <c r="B25" s="17" t="s">
        <v>131</v>
      </c>
      <c r="C25" s="48" t="s">
        <v>114</v>
      </c>
      <c r="D25" s="48" t="s">
        <v>233</v>
      </c>
      <c r="E25" s="48" t="s">
        <v>234</v>
      </c>
      <c r="F25" s="48" t="s">
        <v>235</v>
      </c>
      <c r="G25" s="48" t="s">
        <v>236</v>
      </c>
      <c r="H25" s="48" t="s">
        <v>182</v>
      </c>
      <c r="J25" s="138" t="s">
        <v>178</v>
      </c>
      <c r="K25" s="31"/>
    </row>
    <row r="26" spans="2:11" ht="16.5" thickBot="1" thickTop="1">
      <c r="B26" s="132" t="s">
        <v>118</v>
      </c>
      <c r="C26" s="154">
        <v>10</v>
      </c>
      <c r="D26" s="161">
        <v>2.5</v>
      </c>
      <c r="E26" s="162">
        <f>C26*D26</f>
        <v>25</v>
      </c>
      <c r="F26" s="155">
        <f>10*1.15</f>
        <v>11.5</v>
      </c>
      <c r="G26" s="163">
        <f>E26*F26</f>
        <v>287.5</v>
      </c>
      <c r="H26" s="154">
        <v>5000</v>
      </c>
      <c r="J26" s="140">
        <f>G26/H26</f>
        <v>0.0575</v>
      </c>
      <c r="K26" s="31"/>
    </row>
    <row r="27" spans="2:11" ht="16.5" thickBot="1" thickTop="1">
      <c r="B27" s="132" t="s">
        <v>119</v>
      </c>
      <c r="C27" s="154">
        <v>10</v>
      </c>
      <c r="D27" s="161">
        <v>3</v>
      </c>
      <c r="E27" s="162">
        <f>C27*D27</f>
        <v>30</v>
      </c>
      <c r="F27" s="155">
        <f>10*1.15</f>
        <v>11.5</v>
      </c>
      <c r="G27" s="163">
        <f>E27*F27</f>
        <v>345</v>
      </c>
      <c r="H27" s="154">
        <v>5000</v>
      </c>
      <c r="J27" s="140">
        <f>G27/H27</f>
        <v>0.069</v>
      </c>
      <c r="K27" s="31"/>
    </row>
    <row r="28" spans="2:11" ht="16.5" thickBot="1" thickTop="1">
      <c r="B28" s="132" t="s">
        <v>120</v>
      </c>
      <c r="C28" s="154">
        <v>10</v>
      </c>
      <c r="D28" s="161">
        <v>3.25</v>
      </c>
      <c r="E28" s="162">
        <f>C28*D28</f>
        <v>32.5</v>
      </c>
      <c r="F28" s="155">
        <f>10*1.15</f>
        <v>11.5</v>
      </c>
      <c r="G28" s="163">
        <f>E28*F28</f>
        <v>373.75</v>
      </c>
      <c r="H28" s="154">
        <v>5000</v>
      </c>
      <c r="J28" s="140">
        <f>G28/H28</f>
        <v>0.07475</v>
      </c>
      <c r="K28" s="31"/>
    </row>
    <row r="29" spans="2:11" ht="16.5" thickBot="1" thickTop="1">
      <c r="B29" s="132" t="s">
        <v>121</v>
      </c>
      <c r="C29" s="154">
        <v>10</v>
      </c>
      <c r="D29" s="161">
        <v>3.5</v>
      </c>
      <c r="E29" s="162">
        <f>C29*D29</f>
        <v>35</v>
      </c>
      <c r="F29" s="155">
        <f>10*1.15</f>
        <v>11.5</v>
      </c>
      <c r="G29" s="163">
        <f>E29*F29</f>
        <v>402.5</v>
      </c>
      <c r="H29" s="154">
        <v>5000</v>
      </c>
      <c r="J29" s="140">
        <f>G29/H29</f>
        <v>0.0805</v>
      </c>
      <c r="K29" s="31"/>
    </row>
    <row r="30" spans="2:11" ht="16.5" thickBot="1" thickTop="1">
      <c r="B30" s="132" t="s">
        <v>175</v>
      </c>
      <c r="C30" s="154">
        <v>3</v>
      </c>
      <c r="D30" s="161">
        <v>2500</v>
      </c>
      <c r="E30" s="162">
        <f>C30*D30</f>
        <v>7500</v>
      </c>
      <c r="F30" s="155">
        <f>10*1.15</f>
        <v>11.5</v>
      </c>
      <c r="G30" s="163">
        <f>E30*F30</f>
        <v>86250</v>
      </c>
      <c r="H30" s="154">
        <v>5000</v>
      </c>
      <c r="J30" s="140">
        <f>G30/H30</f>
        <v>17.25</v>
      </c>
      <c r="K30" s="31"/>
    </row>
    <row r="31" spans="2:11" ht="15.75" thickTop="1">
      <c r="B31" s="31"/>
      <c r="C31" s="39"/>
      <c r="D31" s="39"/>
      <c r="E31" s="39"/>
      <c r="F31" s="39"/>
      <c r="G31" s="39"/>
      <c r="H31" s="39"/>
      <c r="J31" s="143"/>
      <c r="K31" s="31"/>
    </row>
    <row r="32" spans="2:11" ht="15">
      <c r="B32" s="31"/>
      <c r="C32" s="39"/>
      <c r="D32" s="39"/>
      <c r="E32" s="39"/>
      <c r="F32" s="39"/>
      <c r="G32" s="39"/>
      <c r="H32" s="39"/>
      <c r="I32" s="39"/>
      <c r="J32" s="143"/>
      <c r="K32" s="31"/>
    </row>
    <row r="33" spans="2:11" ht="15">
      <c r="B33" s="31"/>
      <c r="C33" s="39"/>
      <c r="D33" s="39"/>
      <c r="E33" s="39"/>
      <c r="F33" s="39"/>
      <c r="G33" s="39"/>
      <c r="H33" s="39"/>
      <c r="I33" s="39"/>
      <c r="J33" s="143"/>
      <c r="K33" s="31"/>
    </row>
    <row r="34" spans="2:11" ht="15">
      <c r="B34" s="31"/>
      <c r="C34" s="31"/>
      <c r="D34" s="31"/>
      <c r="E34" s="31"/>
      <c r="F34" s="31"/>
      <c r="G34" s="31"/>
      <c r="H34" s="31"/>
      <c r="I34" s="31"/>
      <c r="J34" s="144"/>
      <c r="K34" s="31"/>
    </row>
    <row r="35" spans="2:11" ht="15">
      <c r="B35" s="31"/>
      <c r="C35" s="31"/>
      <c r="D35" s="31"/>
      <c r="E35" s="31"/>
      <c r="F35" s="31"/>
      <c r="G35" s="31"/>
      <c r="H35" s="31"/>
      <c r="I35" s="31"/>
      <c r="J35" s="144"/>
      <c r="K35" s="31"/>
    </row>
    <row r="36" spans="2:11" ht="15">
      <c r="B36" s="31"/>
      <c r="C36" s="31"/>
      <c r="D36" s="31"/>
      <c r="E36" s="31"/>
      <c r="F36" s="31"/>
      <c r="G36" s="31"/>
      <c r="H36" s="31"/>
      <c r="I36" s="31"/>
      <c r="J36" s="144"/>
      <c r="K36" s="31"/>
    </row>
    <row r="37" spans="2:11" ht="15">
      <c r="B37" s="31"/>
      <c r="C37" s="31"/>
      <c r="D37" s="31"/>
      <c r="E37" s="31"/>
      <c r="F37" s="31"/>
      <c r="G37" s="31"/>
      <c r="H37" s="31"/>
      <c r="I37" s="31"/>
      <c r="J37" s="144"/>
      <c r="K37" s="31"/>
    </row>
    <row r="38" spans="2:11" ht="15">
      <c r="B38" s="31"/>
      <c r="C38" s="31"/>
      <c r="D38" s="31"/>
      <c r="E38" s="31"/>
      <c r="F38" s="31"/>
      <c r="G38" s="31"/>
      <c r="H38" s="31"/>
      <c r="I38" s="31"/>
      <c r="J38" s="144"/>
      <c r="K38" s="31"/>
    </row>
    <row r="39" spans="2:11" ht="15">
      <c r="B39" s="31"/>
      <c r="C39" s="31"/>
      <c r="D39" s="31"/>
      <c r="E39" s="31"/>
      <c r="F39" s="31"/>
      <c r="G39" s="31"/>
      <c r="H39" s="31"/>
      <c r="I39" s="31"/>
      <c r="J39" s="144"/>
      <c r="K39" s="31"/>
    </row>
    <row r="40" spans="2:11" ht="15">
      <c r="B40" s="31"/>
      <c r="C40" s="31"/>
      <c r="D40" s="31"/>
      <c r="E40" s="31"/>
      <c r="F40" s="31"/>
      <c r="G40" s="31"/>
      <c r="H40" s="31"/>
      <c r="I40" s="31"/>
      <c r="J40" s="144"/>
      <c r="K40" s="31"/>
    </row>
    <row r="41" spans="2:11" ht="15">
      <c r="B41" s="31"/>
      <c r="C41" s="31"/>
      <c r="D41" s="31"/>
      <c r="E41" s="31"/>
      <c r="F41" s="31"/>
      <c r="G41" s="31"/>
      <c r="H41" s="31"/>
      <c r="I41" s="31"/>
      <c r="J41" s="144"/>
      <c r="K41" s="31"/>
    </row>
    <row r="42" spans="2:11" ht="15">
      <c r="B42" s="31"/>
      <c r="C42" s="31"/>
      <c r="D42" s="31"/>
      <c r="E42" s="31"/>
      <c r="F42" s="31"/>
      <c r="G42" s="31"/>
      <c r="H42" s="31"/>
      <c r="I42" s="31"/>
      <c r="J42" s="144"/>
      <c r="K42" s="31"/>
    </row>
    <row r="43" spans="2:11" ht="15">
      <c r="B43" s="31"/>
      <c r="C43" s="31"/>
      <c r="D43" s="31"/>
      <c r="E43" s="31"/>
      <c r="F43" s="31"/>
      <c r="G43" s="31"/>
      <c r="H43" s="31"/>
      <c r="I43" s="31"/>
      <c r="J43" s="144"/>
      <c r="K43" s="31"/>
    </row>
    <row r="44" spans="2:11" ht="15">
      <c r="B44" s="31"/>
      <c r="C44" s="31"/>
      <c r="D44" s="31"/>
      <c r="E44" s="31"/>
      <c r="F44" s="31"/>
      <c r="G44" s="31"/>
      <c r="H44" s="31"/>
      <c r="I44" s="31"/>
      <c r="J44" s="144"/>
      <c r="K44" s="31"/>
    </row>
    <row r="45" spans="2:11" ht="15">
      <c r="B45" s="31"/>
      <c r="C45" s="31"/>
      <c r="D45" s="31"/>
      <c r="E45" s="31"/>
      <c r="F45" s="31"/>
      <c r="G45" s="31"/>
      <c r="H45" s="31"/>
      <c r="I45" s="31"/>
      <c r="J45" s="144"/>
      <c r="K45" s="31"/>
    </row>
    <row r="46" spans="2:11" ht="15">
      <c r="B46" s="31"/>
      <c r="C46" s="31"/>
      <c r="D46" s="31"/>
      <c r="E46" s="31"/>
      <c r="F46" s="31"/>
      <c r="G46" s="31"/>
      <c r="H46" s="31"/>
      <c r="I46" s="31"/>
      <c r="J46" s="144"/>
      <c r="K46" s="31"/>
    </row>
    <row r="47" spans="2:11" ht="15">
      <c r="B47" s="31"/>
      <c r="C47" s="31"/>
      <c r="D47" s="31"/>
      <c r="E47" s="31"/>
      <c r="F47" s="31"/>
      <c r="G47" s="31"/>
      <c r="H47" s="31"/>
      <c r="I47" s="31"/>
      <c r="J47" s="144"/>
      <c r="K47" s="31"/>
    </row>
    <row r="48" spans="2:11" ht="15">
      <c r="B48" s="31"/>
      <c r="C48" s="31"/>
      <c r="D48" s="31"/>
      <c r="E48" s="31"/>
      <c r="F48" s="31"/>
      <c r="G48" s="31"/>
      <c r="H48" s="31"/>
      <c r="I48" s="31"/>
      <c r="J48" s="144"/>
      <c r="K48" s="31"/>
    </row>
    <row r="49" spans="2:11" ht="15">
      <c r="B49" s="31"/>
      <c r="C49" s="31"/>
      <c r="D49" s="31"/>
      <c r="E49" s="31"/>
      <c r="F49" s="31"/>
      <c r="G49" s="31"/>
      <c r="H49" s="31"/>
      <c r="I49" s="31"/>
      <c r="J49" s="144"/>
      <c r="K49" s="31"/>
    </row>
    <row r="50" spans="2:11" ht="15">
      <c r="B50" s="31"/>
      <c r="C50" s="31"/>
      <c r="D50" s="31"/>
      <c r="E50" s="31"/>
      <c r="F50" s="31"/>
      <c r="G50" s="31"/>
      <c r="H50" s="31"/>
      <c r="I50" s="31"/>
      <c r="J50" s="144"/>
      <c r="K50" s="31"/>
    </row>
    <row r="51" spans="2:11" ht="15">
      <c r="B51" s="31"/>
      <c r="C51" s="31"/>
      <c r="D51" s="31"/>
      <c r="E51" s="31"/>
      <c r="F51" s="31"/>
      <c r="G51" s="31"/>
      <c r="H51" s="31"/>
      <c r="I51" s="31"/>
      <c r="J51" s="144"/>
      <c r="K51" s="31"/>
    </row>
    <row r="52" spans="2:11" ht="15">
      <c r="B52" s="31"/>
      <c r="C52" s="31"/>
      <c r="D52" s="31"/>
      <c r="E52" s="31"/>
      <c r="F52" s="31"/>
      <c r="G52" s="31"/>
      <c r="H52" s="31"/>
      <c r="I52" s="31"/>
      <c r="J52" s="144"/>
      <c r="K52" s="31"/>
    </row>
    <row r="53" spans="2:11" ht="15">
      <c r="B53" s="31"/>
      <c r="C53" s="31"/>
      <c r="D53" s="31"/>
      <c r="E53" s="31"/>
      <c r="F53" s="31"/>
      <c r="G53" s="31"/>
      <c r="H53" s="31"/>
      <c r="I53" s="31"/>
      <c r="J53" s="144"/>
      <c r="K53" s="31"/>
    </row>
    <row r="54" spans="2:11" ht="15">
      <c r="B54" s="31"/>
      <c r="C54" s="31"/>
      <c r="D54" s="31"/>
      <c r="E54" s="31"/>
      <c r="F54" s="31"/>
      <c r="G54" s="31"/>
      <c r="H54" s="31"/>
      <c r="I54" s="31"/>
      <c r="J54" s="144"/>
      <c r="K54" s="31"/>
    </row>
    <row r="55" spans="2:11" ht="15">
      <c r="B55" s="31"/>
      <c r="C55" s="31"/>
      <c r="D55" s="31"/>
      <c r="E55" s="31"/>
      <c r="F55" s="31"/>
      <c r="G55" s="31"/>
      <c r="H55" s="31"/>
      <c r="I55" s="31"/>
      <c r="J55" s="144"/>
      <c r="K55" s="31"/>
    </row>
    <row r="56" spans="2:11" ht="15">
      <c r="B56" s="31"/>
      <c r="C56" s="31"/>
      <c r="D56" s="31"/>
      <c r="E56" s="31"/>
      <c r="F56" s="31"/>
      <c r="G56" s="31"/>
      <c r="H56" s="31"/>
      <c r="I56" s="31"/>
      <c r="J56" s="144"/>
      <c r="K56" s="31"/>
    </row>
    <row r="57" spans="2:11" ht="15">
      <c r="B57" s="31"/>
      <c r="C57" s="31"/>
      <c r="D57" s="31"/>
      <c r="E57" s="31"/>
      <c r="F57" s="31"/>
      <c r="G57" s="31"/>
      <c r="H57" s="31"/>
      <c r="I57" s="31"/>
      <c r="J57" s="144"/>
      <c r="K57" s="31"/>
    </row>
    <row r="58" spans="2:11" ht="15">
      <c r="B58" s="31"/>
      <c r="C58" s="31"/>
      <c r="D58" s="31"/>
      <c r="E58" s="31"/>
      <c r="F58" s="31"/>
      <c r="G58" s="31"/>
      <c r="H58" s="31"/>
      <c r="I58" s="31"/>
      <c r="J58" s="144"/>
      <c r="K58" s="31"/>
    </row>
    <row r="59" spans="2:11" ht="15">
      <c r="B59" s="31"/>
      <c r="C59" s="31"/>
      <c r="D59" s="31"/>
      <c r="E59" s="31"/>
      <c r="F59" s="31"/>
      <c r="G59" s="31"/>
      <c r="H59" s="31"/>
      <c r="I59" s="31"/>
      <c r="J59" s="144"/>
      <c r="K59" s="31"/>
    </row>
    <row r="60" spans="2:11" ht="15">
      <c r="B60" s="31"/>
      <c r="C60" s="31"/>
      <c r="D60" s="31"/>
      <c r="E60" s="31"/>
      <c r="F60" s="31"/>
      <c r="G60" s="31"/>
      <c r="H60" s="31"/>
      <c r="I60" s="31"/>
      <c r="J60" s="144"/>
      <c r="K60" s="31"/>
    </row>
    <row r="61" spans="2:11" ht="15">
      <c r="B61" s="31"/>
      <c r="C61" s="31"/>
      <c r="D61" s="31"/>
      <c r="E61" s="31"/>
      <c r="F61" s="31"/>
      <c r="G61" s="31"/>
      <c r="H61" s="31"/>
      <c r="I61" s="31"/>
      <c r="J61" s="144"/>
      <c r="K61" s="31"/>
    </row>
    <row r="62" spans="2:11" ht="15">
      <c r="B62" s="31"/>
      <c r="C62" s="31"/>
      <c r="D62" s="31"/>
      <c r="E62" s="31"/>
      <c r="F62" s="31"/>
      <c r="G62" s="31"/>
      <c r="H62" s="31"/>
      <c r="I62" s="31"/>
      <c r="J62" s="144"/>
      <c r="K62" s="31"/>
    </row>
    <row r="63" spans="2:11" ht="15">
      <c r="B63" s="31"/>
      <c r="C63" s="31"/>
      <c r="D63" s="31"/>
      <c r="E63" s="31"/>
      <c r="F63" s="31"/>
      <c r="G63" s="31"/>
      <c r="H63" s="31"/>
      <c r="I63" s="31"/>
      <c r="J63" s="144"/>
      <c r="K63" s="31"/>
    </row>
  </sheetData>
  <sheetProtection sheet="1" objects="1" scenarios="1"/>
  <mergeCells count="3">
    <mergeCell ref="C1:J1"/>
    <mergeCell ref="C2:J2"/>
    <mergeCell ref="G23:I23"/>
  </mergeCells>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dimension ref="B1:BD119"/>
  <sheetViews>
    <sheetView zoomScale="150" zoomScaleNormal="150" workbookViewId="0" topLeftCell="A1">
      <pane xSplit="3" ySplit="3" topLeftCell="D4" activePane="bottomRight" state="frozen"/>
      <selection pane="topLeft" activeCell="A1" sqref="A1"/>
      <selection pane="topRight" activeCell="C1" sqref="C1"/>
      <selection pane="bottomLeft" activeCell="A4" sqref="A4"/>
      <selection pane="bottomRight" activeCell="A1" sqref="A1"/>
    </sheetView>
  </sheetViews>
  <sheetFormatPr defaultColWidth="10.8515625" defaultRowHeight="12.75"/>
  <cols>
    <col min="1" max="1" width="2.28125" style="0" customWidth="1"/>
    <col min="2" max="2" width="44.00390625" style="34" customWidth="1"/>
    <col min="3" max="3" width="11.421875" style="0" customWidth="1"/>
    <col min="4" max="28" width="12.28125" style="0" customWidth="1"/>
    <col min="29" max="29" width="8.8515625" style="0" customWidth="1"/>
  </cols>
  <sheetData>
    <row r="1" spans="2:28" ht="18">
      <c r="B1" s="165" t="s">
        <v>419</v>
      </c>
      <c r="C1" s="256">
        <f>'1 Enterprises'!D3</f>
        <v>2009</v>
      </c>
      <c r="D1" s="1"/>
      <c r="E1" s="2"/>
      <c r="F1" s="2"/>
      <c r="G1" s="2"/>
      <c r="H1" s="2"/>
      <c r="I1" s="2"/>
      <c r="J1" s="2"/>
      <c r="K1" s="51"/>
      <c r="L1" s="2"/>
      <c r="M1" s="2"/>
      <c r="N1" s="2"/>
      <c r="O1" s="2"/>
      <c r="P1" s="2"/>
      <c r="Q1" s="2"/>
      <c r="R1" s="2"/>
      <c r="S1" s="2"/>
      <c r="T1" s="2"/>
      <c r="U1" s="2"/>
      <c r="V1" s="2"/>
      <c r="W1" s="2"/>
      <c r="X1" s="2"/>
      <c r="Y1" s="2"/>
      <c r="Z1" s="2"/>
      <c r="AA1" s="2"/>
      <c r="AB1" s="2"/>
    </row>
    <row r="2" spans="2:28" s="31" customFormat="1" ht="12.75">
      <c r="B2" s="212" t="str">
        <f>'1 Enterprises'!B3</f>
        <v>T and R Whole Sale Nursery</v>
      </c>
      <c r="D2" s="31" t="s">
        <v>227</v>
      </c>
      <c r="E2" s="31" t="s">
        <v>228</v>
      </c>
      <c r="F2" s="31" t="s">
        <v>373</v>
      </c>
      <c r="G2" s="31" t="s">
        <v>374</v>
      </c>
      <c r="H2" s="31" t="s">
        <v>375</v>
      </c>
      <c r="I2" s="31" t="s">
        <v>376</v>
      </c>
      <c r="J2" s="31" t="s">
        <v>229</v>
      </c>
      <c r="K2" s="31" t="s">
        <v>230</v>
      </c>
      <c r="L2" s="31" t="s">
        <v>231</v>
      </c>
      <c r="M2" s="31" t="s">
        <v>232</v>
      </c>
      <c r="N2" s="31" t="s">
        <v>378</v>
      </c>
      <c r="O2" s="31" t="s">
        <v>379</v>
      </c>
      <c r="P2" s="31" t="s">
        <v>380</v>
      </c>
      <c r="Q2" s="31" t="s">
        <v>381</v>
      </c>
      <c r="R2" s="31" t="s">
        <v>238</v>
      </c>
      <c r="S2" s="31" t="s">
        <v>239</v>
      </c>
      <c r="T2" s="31" t="s">
        <v>240</v>
      </c>
      <c r="U2" s="31" t="s">
        <v>241</v>
      </c>
      <c r="V2" s="31" t="s">
        <v>242</v>
      </c>
      <c r="W2" s="31" t="s">
        <v>243</v>
      </c>
      <c r="X2" s="31" t="s">
        <v>244</v>
      </c>
      <c r="Y2" s="31" t="s">
        <v>245</v>
      </c>
      <c r="Z2" s="31" t="s">
        <v>246</v>
      </c>
      <c r="AA2" s="31" t="s">
        <v>247</v>
      </c>
      <c r="AB2" s="31" t="s">
        <v>248</v>
      </c>
    </row>
    <row r="3" spans="4:28" s="42" customFormat="1" ht="45">
      <c r="D3" s="204" t="str">
        <f>'1 Enterprises'!D5</f>
        <v>Container Crop 1</v>
      </c>
      <c r="E3" s="204" t="str">
        <f>'1 Enterprises'!E5</f>
        <v>Container Crop 2</v>
      </c>
      <c r="F3" s="204" t="str">
        <f>'1 Enterprises'!F5</f>
        <v>Container Crop 3</v>
      </c>
      <c r="G3" s="204" t="str">
        <f>'1 Enterprises'!G5</f>
        <v>Container Crop 4</v>
      </c>
      <c r="H3" s="204" t="str">
        <f>'1 Enterprises'!H5</f>
        <v>Container Crop 5</v>
      </c>
      <c r="I3" s="204" t="str">
        <f>'1 Enterprises'!I5</f>
        <v>Container Crop 6</v>
      </c>
      <c r="J3" s="204" t="str">
        <f>'1 Enterprises'!J5</f>
        <v>Container Crop 7</v>
      </c>
      <c r="K3" s="204" t="str">
        <f>'1 Enterprises'!K5</f>
        <v>Container Crop 8</v>
      </c>
      <c r="L3" s="204" t="str">
        <f>'1 Enterprises'!L5</f>
        <v>Container Crop 9</v>
      </c>
      <c r="M3" s="204" t="str">
        <f>'1 Enterprises'!M5</f>
        <v>Field Crop 1</v>
      </c>
      <c r="N3" s="204" t="str">
        <f>'1 Enterprises'!N5</f>
        <v>Field Crop 2</v>
      </c>
      <c r="O3" s="204" t="str">
        <f>'1 Enterprises'!O5</f>
        <v>Field Crop 3</v>
      </c>
      <c r="P3" s="204" t="str">
        <f>'1 Enterprises'!P5</f>
        <v>Container Crop 10</v>
      </c>
      <c r="Q3" s="204" t="str">
        <f>'1 Enterprises'!Q5</f>
        <v>Container Crop 11</v>
      </c>
      <c r="R3" s="204" t="str">
        <f>'1 Enterprises'!R5</f>
        <v>Container Crop 12</v>
      </c>
      <c r="S3" s="204" t="str">
        <f>'1 Enterprises'!S5</f>
        <v>Container Crop 13</v>
      </c>
      <c r="T3" s="204" t="str">
        <f>'1 Enterprises'!T5</f>
        <v>Container Crop 14</v>
      </c>
      <c r="U3" s="204" t="str">
        <f>'1 Enterprises'!U5</f>
        <v>Container Crop 15</v>
      </c>
      <c r="V3" s="204" t="str">
        <f>'1 Enterprises'!V5</f>
        <v>Container Crop 16</v>
      </c>
      <c r="W3" s="204" t="str">
        <f>'1 Enterprises'!W5</f>
        <v>Container Crop 17</v>
      </c>
      <c r="X3" s="204" t="str">
        <f>'1 Enterprises'!X5</f>
        <v>Container Crop 18</v>
      </c>
      <c r="Y3" s="204" t="str">
        <f>'1 Enterprises'!Y5</f>
        <v>Field Crop 4</v>
      </c>
      <c r="Z3" s="204" t="str">
        <f>'1 Enterprises'!Z5</f>
        <v>Field Crop 5</v>
      </c>
      <c r="AA3" s="204" t="str">
        <f>'1 Enterprises'!AA5</f>
        <v>Field Crop 6</v>
      </c>
      <c r="AB3" s="204" t="str">
        <f>'1 Enterprises'!AB5</f>
        <v>Field Crop 7</v>
      </c>
    </row>
    <row r="4" s="36" customFormat="1" ht="12.75"/>
    <row r="5" spans="2:28" s="36" customFormat="1" ht="12.75">
      <c r="B5" s="64" t="s">
        <v>40</v>
      </c>
      <c r="C5" s="35"/>
      <c r="D5" s="46">
        <f>'1 Enterprises'!D22*'1 Enterprises'!D13*'1 Enterprises'!D6</f>
        <v>3476190.4761904757</v>
      </c>
      <c r="E5" s="46">
        <f>'1 Enterprises'!E22*'1 Enterprises'!E13*'1 Enterprises'!E6</f>
        <v>5733000</v>
      </c>
      <c r="F5" s="46">
        <f>'1 Enterprises'!F22*'1 Enterprises'!F13*'1 Enterprises'!F6</f>
        <v>9841500</v>
      </c>
      <c r="G5" s="46">
        <f>'1 Enterprises'!G22*'1 Enterprises'!G13*'1 Enterprises'!G6</f>
        <v>4811047.6190476185</v>
      </c>
      <c r="H5" s="46">
        <f>'1 Enterprises'!H22*'1 Enterprises'!H13*'1 Enterprises'!H6</f>
        <v>7753200</v>
      </c>
      <c r="I5" s="46">
        <f>'1 Enterprises'!I22*'1 Enterprises'!I13*'1 Enterprises'!I6</f>
        <v>12161282.142857142</v>
      </c>
      <c r="J5" s="46">
        <f>'1 Enterprises'!J22*'1 Enterprises'!J13*'1 Enterprises'!J6</f>
        <v>2280380.9523809524</v>
      </c>
      <c r="K5" s="46">
        <f>'1 Enterprises'!K22*'1 Enterprises'!K13*'1 Enterprises'!K6</f>
        <v>4305210</v>
      </c>
      <c r="L5" s="46">
        <f>'1 Enterprises'!L22*'1 Enterprises'!L13*'1 Enterprises'!L6</f>
        <v>21510707.14285714</v>
      </c>
      <c r="M5" s="46">
        <f>'1 Enterprises'!M22*'1 Enterprises'!M13*'1 Enterprises'!M6</f>
        <v>18642857.142857146</v>
      </c>
      <c r="N5" s="46">
        <f>'1 Enterprises'!N22*'1 Enterprises'!N13*'1 Enterprises'!N6</f>
        <v>22371428.571428575</v>
      </c>
      <c r="O5" s="46">
        <f>'1 Enterprises'!O22*'1 Enterprises'!O13*'1 Enterprises'!O6</f>
        <v>27964285.714285716</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row>
    <row r="6" spans="2:28" s="36" customFormat="1" ht="15">
      <c r="B6" s="64" t="s">
        <v>110</v>
      </c>
      <c r="C6" s="35"/>
      <c r="D6" s="152">
        <v>1</v>
      </c>
      <c r="E6" s="152">
        <v>1</v>
      </c>
      <c r="F6" s="152">
        <v>1</v>
      </c>
      <c r="G6" s="152">
        <v>1</v>
      </c>
      <c r="H6" s="152">
        <v>1</v>
      </c>
      <c r="I6" s="152">
        <v>1</v>
      </c>
      <c r="J6" s="152">
        <v>1</v>
      </c>
      <c r="K6" s="152">
        <v>1</v>
      </c>
      <c r="L6" s="152">
        <v>1</v>
      </c>
      <c r="M6" s="152">
        <v>0.25</v>
      </c>
      <c r="N6" s="152">
        <v>0.25</v>
      </c>
      <c r="O6" s="152">
        <v>0.25</v>
      </c>
      <c r="P6" s="152">
        <v>1</v>
      </c>
      <c r="Q6" s="152">
        <v>1</v>
      </c>
      <c r="R6" s="152">
        <v>1</v>
      </c>
      <c r="S6" s="152">
        <v>1</v>
      </c>
      <c r="T6" s="152">
        <v>1</v>
      </c>
      <c r="U6" s="152">
        <v>1</v>
      </c>
      <c r="V6" s="152">
        <v>1</v>
      </c>
      <c r="W6" s="152">
        <v>1</v>
      </c>
      <c r="X6" s="152">
        <v>1</v>
      </c>
      <c r="Y6" s="152">
        <v>0.25</v>
      </c>
      <c r="Z6" s="152">
        <v>0.25</v>
      </c>
      <c r="AA6" s="152">
        <v>0.25</v>
      </c>
      <c r="AB6" s="152">
        <v>0.25</v>
      </c>
    </row>
    <row r="7" spans="2:28" s="36" customFormat="1" ht="12.75">
      <c r="B7" s="64" t="s">
        <v>312</v>
      </c>
      <c r="C7" s="35"/>
      <c r="D7" s="106">
        <f>IF(D6&gt;0,(D6/SUM($D6:$AB6)),0)</f>
        <v>0.05063291139240506</v>
      </c>
      <c r="E7" s="106">
        <f aca="true" t="shared" si="0" ref="E7:AB7">IF(E6&gt;0,(E6/SUM($D6:$AB6)),0)</f>
        <v>0.05063291139240506</v>
      </c>
      <c r="F7" s="106">
        <f t="shared" si="0"/>
        <v>0.05063291139240506</v>
      </c>
      <c r="G7" s="106">
        <f t="shared" si="0"/>
        <v>0.05063291139240506</v>
      </c>
      <c r="H7" s="106">
        <f t="shared" si="0"/>
        <v>0.05063291139240506</v>
      </c>
      <c r="I7" s="106">
        <f t="shared" si="0"/>
        <v>0.05063291139240506</v>
      </c>
      <c r="J7" s="106">
        <f t="shared" si="0"/>
        <v>0.05063291139240506</v>
      </c>
      <c r="K7" s="106">
        <f t="shared" si="0"/>
        <v>0.05063291139240506</v>
      </c>
      <c r="L7" s="106">
        <f t="shared" si="0"/>
        <v>0.05063291139240506</v>
      </c>
      <c r="M7" s="106">
        <f t="shared" si="0"/>
        <v>0.012658227848101266</v>
      </c>
      <c r="N7" s="106">
        <f t="shared" si="0"/>
        <v>0.012658227848101266</v>
      </c>
      <c r="O7" s="106">
        <f t="shared" si="0"/>
        <v>0.012658227848101266</v>
      </c>
      <c r="P7" s="106">
        <f t="shared" si="0"/>
        <v>0.05063291139240506</v>
      </c>
      <c r="Q7" s="106">
        <f t="shared" si="0"/>
        <v>0.05063291139240506</v>
      </c>
      <c r="R7" s="106">
        <f t="shared" si="0"/>
        <v>0.05063291139240506</v>
      </c>
      <c r="S7" s="106">
        <f t="shared" si="0"/>
        <v>0.05063291139240506</v>
      </c>
      <c r="T7" s="106">
        <f t="shared" si="0"/>
        <v>0.05063291139240506</v>
      </c>
      <c r="U7" s="106">
        <f t="shared" si="0"/>
        <v>0.05063291139240506</v>
      </c>
      <c r="V7" s="106">
        <f t="shared" si="0"/>
        <v>0.05063291139240506</v>
      </c>
      <c r="W7" s="106">
        <f t="shared" si="0"/>
        <v>0.05063291139240506</v>
      </c>
      <c r="X7" s="106">
        <f t="shared" si="0"/>
        <v>0.05063291139240506</v>
      </c>
      <c r="Y7" s="106">
        <f t="shared" si="0"/>
        <v>0.012658227848101266</v>
      </c>
      <c r="Z7" s="106">
        <f t="shared" si="0"/>
        <v>0.012658227848101266</v>
      </c>
      <c r="AA7" s="106">
        <f t="shared" si="0"/>
        <v>0.012658227848101266</v>
      </c>
      <c r="AB7" s="106">
        <f t="shared" si="0"/>
        <v>0.012658227848101266</v>
      </c>
    </row>
    <row r="8" spans="2:56" s="125" customFormat="1" ht="12" hidden="1">
      <c r="B8" s="124"/>
      <c r="C8" s="46"/>
      <c r="D8" s="46">
        <f>D5*D7</f>
        <v>176009.64436407472</v>
      </c>
      <c r="E8" s="46">
        <f aca="true" t="shared" si="1" ref="E8:N8">E5*E7</f>
        <v>290278.4810126582</v>
      </c>
      <c r="F8" s="46">
        <f t="shared" si="1"/>
        <v>498303.7974683544</v>
      </c>
      <c r="G8" s="46">
        <f t="shared" si="1"/>
        <v>243597.3477998794</v>
      </c>
      <c r="H8" s="46">
        <f t="shared" si="1"/>
        <v>392567.08860759495</v>
      </c>
      <c r="I8" s="46">
        <f t="shared" si="1"/>
        <v>615761.1211573236</v>
      </c>
      <c r="J8" s="46">
        <f t="shared" si="1"/>
        <v>115462.32670283303</v>
      </c>
      <c r="K8" s="46">
        <f t="shared" si="1"/>
        <v>217985.3164556962</v>
      </c>
      <c r="L8" s="46">
        <f t="shared" si="1"/>
        <v>1089149.7287522603</v>
      </c>
      <c r="M8" s="46">
        <f t="shared" si="1"/>
        <v>235985.5334538879</v>
      </c>
      <c r="N8" s="46">
        <f t="shared" si="1"/>
        <v>283182.6401446655</v>
      </c>
      <c r="O8" s="46">
        <f aca="true" t="shared" si="2" ref="O8:AB8">O5*O7</f>
        <v>353978.30018083187</v>
      </c>
      <c r="P8" s="46">
        <f t="shared" si="2"/>
        <v>0</v>
      </c>
      <c r="Q8" s="46">
        <f t="shared" si="2"/>
        <v>0</v>
      </c>
      <c r="R8" s="46">
        <f t="shared" si="2"/>
        <v>0</v>
      </c>
      <c r="S8" s="46">
        <f t="shared" si="2"/>
        <v>0</v>
      </c>
      <c r="T8" s="46">
        <f t="shared" si="2"/>
        <v>0</v>
      </c>
      <c r="U8" s="46">
        <f t="shared" si="2"/>
        <v>0</v>
      </c>
      <c r="V8" s="46">
        <f t="shared" si="2"/>
        <v>0</v>
      </c>
      <c r="W8" s="46">
        <f t="shared" si="2"/>
        <v>0</v>
      </c>
      <c r="X8" s="46">
        <f t="shared" si="2"/>
        <v>0</v>
      </c>
      <c r="Y8" s="46">
        <f t="shared" si="2"/>
        <v>0</v>
      </c>
      <c r="Z8" s="46">
        <f t="shared" si="2"/>
        <v>0</v>
      </c>
      <c r="AA8" s="46">
        <f t="shared" si="2"/>
        <v>0</v>
      </c>
      <c r="AB8" s="46">
        <f t="shared" si="2"/>
        <v>0</v>
      </c>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row>
    <row r="9" spans="2:30" ht="12.75">
      <c r="B9" s="64" t="s">
        <v>35</v>
      </c>
      <c r="C9" s="1"/>
      <c r="D9" s="106">
        <f aca="true" t="shared" si="3" ref="D9:AB9">IF(SUM($D8:$AB8)&gt;0,(D8/SUM($D8:$AB8)),0)</f>
        <v>0.03900697048417618</v>
      </c>
      <c r="E9" s="106">
        <f t="shared" si="3"/>
        <v>0.06433104380138936</v>
      </c>
      <c r="F9" s="106">
        <f t="shared" si="3"/>
        <v>0.11043327534822492</v>
      </c>
      <c r="G9" s="106">
        <f t="shared" si="3"/>
        <v>0.05398564715009984</v>
      </c>
      <c r="H9" s="106">
        <f t="shared" si="3"/>
        <v>0.08700007828378373</v>
      </c>
      <c r="I9" s="106">
        <f t="shared" si="3"/>
        <v>0.13646397596602078</v>
      </c>
      <c r="J9" s="106">
        <f t="shared" si="3"/>
        <v>0.02558857263761958</v>
      </c>
      <c r="K9" s="106">
        <f t="shared" si="3"/>
        <v>0.04830955051180525</v>
      </c>
      <c r="L9" s="106">
        <f t="shared" si="3"/>
        <v>0.24137558754683447</v>
      </c>
      <c r="M9" s="106">
        <f t="shared" si="3"/>
        <v>0.05229872926217459</v>
      </c>
      <c r="N9" s="106">
        <f t="shared" si="3"/>
        <v>0.06275847511460951</v>
      </c>
      <c r="O9" s="106">
        <f t="shared" si="3"/>
        <v>0.07844809389326188</v>
      </c>
      <c r="P9" s="106">
        <f t="shared" si="3"/>
        <v>0</v>
      </c>
      <c r="Q9" s="106">
        <f t="shared" si="3"/>
        <v>0</v>
      </c>
      <c r="R9" s="106">
        <f t="shared" si="3"/>
        <v>0</v>
      </c>
      <c r="S9" s="106">
        <f t="shared" si="3"/>
        <v>0</v>
      </c>
      <c r="T9" s="106">
        <f t="shared" si="3"/>
        <v>0</v>
      </c>
      <c r="U9" s="106">
        <f t="shared" si="3"/>
        <v>0</v>
      </c>
      <c r="V9" s="106">
        <f t="shared" si="3"/>
        <v>0</v>
      </c>
      <c r="W9" s="106">
        <f t="shared" si="3"/>
        <v>0</v>
      </c>
      <c r="X9" s="106">
        <f t="shared" si="3"/>
        <v>0</v>
      </c>
      <c r="Y9" s="106">
        <f t="shared" si="3"/>
        <v>0</v>
      </c>
      <c r="Z9" s="106">
        <f t="shared" si="3"/>
        <v>0</v>
      </c>
      <c r="AA9" s="106">
        <f t="shared" si="3"/>
        <v>0</v>
      </c>
      <c r="AB9" s="106">
        <f t="shared" si="3"/>
        <v>0</v>
      </c>
      <c r="AC9" s="108"/>
      <c r="AD9" s="108"/>
    </row>
    <row r="10" spans="2:30" ht="12.75">
      <c r="B10" s="64"/>
      <c r="C10" s="1"/>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D10" s="108"/>
    </row>
    <row r="11" spans="2:30" s="34" customFormat="1" ht="12.75">
      <c r="B11" s="64" t="s">
        <v>108</v>
      </c>
      <c r="C11" s="33"/>
      <c r="D11" s="206">
        <f>IF(D3&gt;0,(('1 Enterprises'!D6/'1 Enterprises'!D14)*('1 Enterprises'!D22/52)),0)</f>
        <v>1.5346606255697164</v>
      </c>
      <c r="E11" s="206">
        <f>IF(E3&gt;0,(('1 Enterprises'!E6/'1 Enterprises'!E14)*('1 Enterprises'!E22/52)),0)</f>
        <v>2.53099173553719</v>
      </c>
      <c r="F11" s="206">
        <f>IF(F3&gt;0,(('1 Enterprises'!F6/'1 Enterprises'!F14)*('1 Enterprises'!F22/52)),0)</f>
        <v>4.34480292434838</v>
      </c>
      <c r="G11" s="206">
        <f>IF(G3&gt;0,(('1 Enterprises'!G6/'1 Enterprises'!G14)*('1 Enterprises'!G22/52)),0)</f>
        <v>2.1239703057884873</v>
      </c>
      <c r="H11" s="206">
        <f>IF(H3&gt;0,(('1 Enterprises'!H6/'1 Enterprises'!H14)*('1 Enterprises'!H22/52)),0)</f>
        <v>3.422865013774105</v>
      </c>
      <c r="I11" s="206">
        <f>IF(I3&gt;0,(('1 Enterprises'!I6/'1 Enterprises'!I14)*('1 Enterprises'!I22/52)),0)</f>
        <v>5.368935042230497</v>
      </c>
      <c r="J11" s="206">
        <f>IF(J3&gt;0,(('1 Enterprises'!J6/'1 Enterprises'!J14)*('1 Enterprises'!J22/52)),0)</f>
        <v>1.0067373703737341</v>
      </c>
      <c r="K11" s="206">
        <f>IF(K3&gt;0,(('1 Enterprises'!K6/'1 Enterprises'!K14)*('1 Enterprises'!K22/52)),0)</f>
        <v>1.9006542699724518</v>
      </c>
      <c r="L11" s="206">
        <f>IF(L3&gt;0,(('1 Enterprises'!L6/'1 Enterprises'!L14)*('1 Enterprises'!L22/52)),0)</f>
        <v>9.496497820361457</v>
      </c>
      <c r="M11" s="206">
        <f>IF(M3&gt;0,(('1 Enterprises'!M6/'1 Enterprises'!M14)*('1 Enterprises'!M22/52)),0)</f>
        <v>8.230405957678686</v>
      </c>
      <c r="N11" s="206">
        <f>IF(N3&gt;0,(('1 Enterprises'!N6/'1 Enterprises'!N14)*('1 Enterprises'!N22/52)),0)</f>
        <v>9.876487149214423</v>
      </c>
      <c r="O11" s="206">
        <f>IF(O3&gt;0,(('1 Enterprises'!O6/'1 Enterprises'!O14)*('1 Enterprises'!O22/52)),0)</f>
        <v>12.345608936518028</v>
      </c>
      <c r="P11" s="206">
        <f>IF(P3&gt;0,(('1 Enterprises'!P6/'1 Enterprises'!P14)*('1 Enterprises'!P22/52)),0)</f>
        <v>0</v>
      </c>
      <c r="Q11" s="206">
        <f>IF(Q3&gt;0,(('1 Enterprises'!Q6/'1 Enterprises'!Q14)*('1 Enterprises'!Q22/52)),0)</f>
        <v>0</v>
      </c>
      <c r="R11" s="206">
        <f>IF(R3&gt;0,(('1 Enterprises'!R6/'1 Enterprises'!R14)*('1 Enterprises'!R22/52)),0)</f>
        <v>0</v>
      </c>
      <c r="S11" s="206">
        <f>IF(S3&gt;0,(('1 Enterprises'!S6/'1 Enterprises'!S14)*('1 Enterprises'!S22/52)),0)</f>
        <v>0</v>
      </c>
      <c r="T11" s="206">
        <f>IF(T3&gt;0,(('1 Enterprises'!T6/'1 Enterprises'!T14)*('1 Enterprises'!T22/52)),0)</f>
        <v>0</v>
      </c>
      <c r="U11" s="206">
        <f>IF(U3&gt;0,(('1 Enterprises'!U6/'1 Enterprises'!U14)*('1 Enterprises'!U22/52)),0)</f>
        <v>0</v>
      </c>
      <c r="V11" s="206">
        <f>IF(V3&gt;0,(('1 Enterprises'!V6/'1 Enterprises'!V14)*('1 Enterprises'!V22/52)),0)</f>
        <v>0</v>
      </c>
      <c r="W11" s="206">
        <f>IF(W3&gt;0,(('1 Enterprises'!W6/'1 Enterprises'!W14)*('1 Enterprises'!W22/52)),0)</f>
        <v>0</v>
      </c>
      <c r="X11" s="206">
        <f>IF(X3&gt;0,(('1 Enterprises'!X6/'1 Enterprises'!X14)*('1 Enterprises'!X22/52)),0)</f>
        <v>0</v>
      </c>
      <c r="Y11" s="206">
        <f>IF(Y3&gt;0,(('1 Enterprises'!Y6/'1 Enterprises'!Y14)*('1 Enterprises'!Y22/52)),0)</f>
        <v>0</v>
      </c>
      <c r="Z11" s="206">
        <f>IF(Z3&gt;0,(('1 Enterprises'!Z6/'1 Enterprises'!Z14)*('1 Enterprises'!Z22/52)),0)</f>
        <v>0</v>
      </c>
      <c r="AA11" s="206">
        <f>IF(AA3&gt;0,(('1 Enterprises'!AA6/'1 Enterprises'!AA14)*('1 Enterprises'!AA22/52)),0)</f>
        <v>0</v>
      </c>
      <c r="AB11" s="206">
        <f>IF(AB3&gt;0,(('1 Enterprises'!AB6/'1 Enterprises'!AB14)*('1 Enterprises'!AB22/52)),0)</f>
        <v>0</v>
      </c>
      <c r="AD11" s="107"/>
    </row>
    <row r="12" spans="2:28" ht="12.75">
      <c r="B12" s="64"/>
      <c r="C12" s="1"/>
      <c r="D12" s="87"/>
      <c r="E12" s="73"/>
      <c r="F12" s="73"/>
      <c r="G12" s="73"/>
      <c r="H12" s="73"/>
      <c r="I12" s="73"/>
      <c r="J12" s="73"/>
      <c r="K12" s="73"/>
      <c r="L12" s="73"/>
      <c r="M12" s="73"/>
      <c r="N12" s="73"/>
      <c r="O12" s="73"/>
      <c r="P12" s="73"/>
      <c r="Q12" s="73"/>
      <c r="R12" s="73"/>
      <c r="S12" s="73"/>
      <c r="T12" s="73"/>
      <c r="U12" s="73"/>
      <c r="V12" s="73"/>
      <c r="W12" s="73"/>
      <c r="X12" s="73"/>
      <c r="Y12" s="73"/>
      <c r="Z12" s="73"/>
      <c r="AA12" s="73"/>
      <c r="AB12" s="73"/>
    </row>
    <row r="13" spans="2:28" ht="12.75">
      <c r="B13" s="66" t="s">
        <v>42</v>
      </c>
      <c r="C13" s="1"/>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2:56" s="63" customFormat="1" ht="15">
      <c r="B14" s="67" t="str">
        <f>'2 Income Statement'!B37</f>
        <v> Containers</v>
      </c>
      <c r="C14" s="208" t="s">
        <v>320</v>
      </c>
      <c r="D14" s="153">
        <v>0.21</v>
      </c>
      <c r="E14" s="153">
        <v>0.55</v>
      </c>
      <c r="F14" s="153">
        <v>1.05</v>
      </c>
      <c r="G14" s="153">
        <v>0.21</v>
      </c>
      <c r="H14" s="153">
        <v>0.55</v>
      </c>
      <c r="I14" s="153">
        <v>1.05</v>
      </c>
      <c r="J14" s="153">
        <v>0.21</v>
      </c>
      <c r="K14" s="153">
        <v>0.55</v>
      </c>
      <c r="L14" s="153">
        <v>1.05</v>
      </c>
      <c r="M14" s="153">
        <v>0</v>
      </c>
      <c r="N14" s="153">
        <v>0</v>
      </c>
      <c r="O14" s="153">
        <v>0</v>
      </c>
      <c r="P14" s="153">
        <v>0</v>
      </c>
      <c r="Q14" s="153">
        <v>0</v>
      </c>
      <c r="R14" s="153">
        <v>0</v>
      </c>
      <c r="S14" s="153">
        <v>0</v>
      </c>
      <c r="T14" s="153">
        <v>0</v>
      </c>
      <c r="U14" s="153">
        <v>0</v>
      </c>
      <c r="V14" s="153">
        <v>0</v>
      </c>
      <c r="W14" s="153">
        <v>0</v>
      </c>
      <c r="X14" s="153">
        <v>0</v>
      </c>
      <c r="Y14" s="153">
        <v>0</v>
      </c>
      <c r="Z14" s="153">
        <v>0</v>
      </c>
      <c r="AA14" s="153">
        <v>0</v>
      </c>
      <c r="AB14" s="153">
        <v>0</v>
      </c>
      <c r="AE14" s="167">
        <f>SUM(AF14:BD14)</f>
        <v>132758.5</v>
      </c>
      <c r="AF14" s="166">
        <f>D14*'1 Enterprises'!D$6</f>
        <v>10500</v>
      </c>
      <c r="AG14" s="166">
        <f>E14*'1 Enterprises'!E$6</f>
        <v>11550.000000000002</v>
      </c>
      <c r="AH14" s="166">
        <f>F14*'1 Enterprises'!F$6</f>
        <v>14700</v>
      </c>
      <c r="AI14" s="166">
        <f>G14*'1 Enterprises'!G$6</f>
        <v>14532</v>
      </c>
      <c r="AJ14" s="166">
        <f>H14*'1 Enterprises'!H$6</f>
        <v>15620.000000000002</v>
      </c>
      <c r="AK14" s="166">
        <f>I14*'1 Enterprises'!I$6</f>
        <v>18165</v>
      </c>
      <c r="AL14" s="166">
        <f>J14*'1 Enterprises'!J$6</f>
        <v>6888</v>
      </c>
      <c r="AM14" s="166">
        <f>K14*'1 Enterprises'!K$6</f>
        <v>8673.5</v>
      </c>
      <c r="AN14" s="166">
        <f>L14*'1 Enterprises'!L$6</f>
        <v>32130</v>
      </c>
      <c r="AO14" s="166">
        <f>M14*'1 Enterprises'!M$6</f>
        <v>0</v>
      </c>
      <c r="AP14" s="166">
        <f>N14*'1 Enterprises'!N$6</f>
        <v>0</v>
      </c>
      <c r="AQ14" s="166">
        <f>O14*'1 Enterprises'!O$6</f>
        <v>0</v>
      </c>
      <c r="AR14" s="166">
        <f>P14*'1 Enterprises'!P$6</f>
        <v>0</v>
      </c>
      <c r="AS14" s="166">
        <f>Q14*'1 Enterprises'!Q$6</f>
        <v>0</v>
      </c>
      <c r="AT14" s="166">
        <f>R14*'1 Enterprises'!R$6</f>
        <v>0</v>
      </c>
      <c r="AU14" s="166">
        <f>S14*'1 Enterprises'!S$6</f>
        <v>0</v>
      </c>
      <c r="AV14" s="166">
        <f>T14*'1 Enterprises'!T$6</f>
        <v>0</v>
      </c>
      <c r="AW14" s="166">
        <f>U14*'1 Enterprises'!U$6</f>
        <v>0</v>
      </c>
      <c r="AX14" s="166">
        <f>V14*'1 Enterprises'!V$6</f>
        <v>0</v>
      </c>
      <c r="AY14" s="166">
        <f>W14*'1 Enterprises'!W$6</f>
        <v>0</v>
      </c>
      <c r="AZ14" s="166">
        <f>X14*'1 Enterprises'!X$6</f>
        <v>0</v>
      </c>
      <c r="BA14" s="166">
        <f>Y14*'1 Enterprises'!Y$6</f>
        <v>0</v>
      </c>
      <c r="BB14" s="166">
        <f>Z14*'1 Enterprises'!Z$6</f>
        <v>0</v>
      </c>
      <c r="BC14" s="166">
        <f>AA14*'1 Enterprises'!AA$6</f>
        <v>0</v>
      </c>
      <c r="BD14" s="166">
        <f>AB14*'1 Enterprises'!AB$6</f>
        <v>0</v>
      </c>
    </row>
    <row r="15" spans="2:56" s="63" customFormat="1" ht="12.75">
      <c r="B15" s="67" t="str">
        <f>'2 Income Statement'!B38</f>
        <v> Substrate</v>
      </c>
      <c r="C15" s="208" t="s">
        <v>320</v>
      </c>
      <c r="D15" s="62">
        <f>'5 Substrate'!I3</f>
        <v>0.39618</v>
      </c>
      <c r="E15" s="62">
        <f>'5 Substrate'!I4</f>
        <v>0.82584</v>
      </c>
      <c r="F15" s="62">
        <f>'5 Substrate'!I5</f>
        <v>2.1420000000000003</v>
      </c>
      <c r="G15" s="62">
        <f>'5 Substrate'!I6</f>
        <v>0.3337</v>
      </c>
      <c r="H15" s="62">
        <f>'5 Substrate'!I7</f>
        <v>0.6956</v>
      </c>
      <c r="I15" s="62">
        <f>'5 Substrate'!I8</f>
        <v>2.2372</v>
      </c>
      <c r="J15" s="62">
        <f>'5 Substrate'!I9</f>
        <v>0.35500000000000004</v>
      </c>
      <c r="K15" s="62">
        <f>'5 Substrate'!I10</f>
        <v>0.74</v>
      </c>
      <c r="L15" s="62">
        <f>'5 Substrate'!I11</f>
        <v>2.3800000000000003</v>
      </c>
      <c r="M15" s="62">
        <f>'5 Substrate'!I12</f>
        <v>0</v>
      </c>
      <c r="N15" s="62">
        <f>'5 Substrate'!I13</f>
        <v>0</v>
      </c>
      <c r="O15" s="62">
        <f>'5 Substrate'!I14</f>
        <v>0</v>
      </c>
      <c r="P15" s="62">
        <f>'5 Substrate'!I15</f>
        <v>0</v>
      </c>
      <c r="Q15" s="62">
        <f>'5 Substrate'!I16</f>
        <v>0</v>
      </c>
      <c r="R15" s="62">
        <f>'5 Substrate'!I17</f>
        <v>0</v>
      </c>
      <c r="S15" s="62">
        <f>'5 Substrate'!I18</f>
        <v>0</v>
      </c>
      <c r="T15" s="62">
        <f>'5 Substrate'!I19</f>
        <v>0</v>
      </c>
      <c r="U15" s="62">
        <f>'5 Substrate'!I20</f>
        <v>0</v>
      </c>
      <c r="V15" s="62">
        <f>'5 Substrate'!I21</f>
        <v>0</v>
      </c>
      <c r="W15" s="62">
        <f>'5 Substrate'!I22</f>
        <v>0</v>
      </c>
      <c r="X15" s="62">
        <f>'5 Substrate'!I23</f>
        <v>0</v>
      </c>
      <c r="Y15" s="62">
        <f>'5 Substrate'!I24</f>
        <v>0</v>
      </c>
      <c r="Z15" s="62">
        <f>'5 Substrate'!I25</f>
        <v>0</v>
      </c>
      <c r="AA15" s="62">
        <f>'5 Substrate'!I26</f>
        <v>0</v>
      </c>
      <c r="AB15" s="62">
        <f>'5 Substrate'!I27</f>
        <v>0</v>
      </c>
      <c r="AE15" s="167">
        <f aca="true" t="shared" si="4" ref="AE15:AE28">SUM(AF15:BD15)</f>
        <v>244832.08000000002</v>
      </c>
      <c r="AF15" s="166">
        <f>D15*'1 Enterprises'!D$6</f>
        <v>19809</v>
      </c>
      <c r="AG15" s="166">
        <f>E15*'1 Enterprises'!E$6</f>
        <v>17342.64</v>
      </c>
      <c r="AH15" s="166">
        <f>F15*'1 Enterprises'!F$6</f>
        <v>29988.000000000004</v>
      </c>
      <c r="AI15" s="166">
        <f>G15*'1 Enterprises'!G$6</f>
        <v>23092.04</v>
      </c>
      <c r="AJ15" s="166">
        <f>H15*'1 Enterprises'!H$6</f>
        <v>19755.04</v>
      </c>
      <c r="AK15" s="166">
        <f>I15*'1 Enterprises'!I$6</f>
        <v>38703.560000000005</v>
      </c>
      <c r="AL15" s="166">
        <f>J15*'1 Enterprises'!J$6</f>
        <v>11644.000000000002</v>
      </c>
      <c r="AM15" s="166">
        <f>K15*'1 Enterprises'!K$6</f>
        <v>11669.8</v>
      </c>
      <c r="AN15" s="166">
        <f>L15*'1 Enterprises'!L$6</f>
        <v>72828.00000000001</v>
      </c>
      <c r="AO15" s="166">
        <f>M15*'1 Enterprises'!M$6</f>
        <v>0</v>
      </c>
      <c r="AP15" s="166">
        <f>N15*'1 Enterprises'!N$6</f>
        <v>0</v>
      </c>
      <c r="AQ15" s="166">
        <f>O15*'1 Enterprises'!O$6</f>
        <v>0</v>
      </c>
      <c r="AR15" s="166">
        <f>P15*'1 Enterprises'!P$6</f>
        <v>0</v>
      </c>
      <c r="AS15" s="166">
        <f>Q15*'1 Enterprises'!Q$6</f>
        <v>0</v>
      </c>
      <c r="AT15" s="166">
        <f>R15*'1 Enterprises'!R$6</f>
        <v>0</v>
      </c>
      <c r="AU15" s="166">
        <f>S15*'1 Enterprises'!S$6</f>
        <v>0</v>
      </c>
      <c r="AV15" s="166">
        <f>T15*'1 Enterprises'!T$6</f>
        <v>0</v>
      </c>
      <c r="AW15" s="166">
        <f>U15*'1 Enterprises'!U$6</f>
        <v>0</v>
      </c>
      <c r="AX15" s="166">
        <f>V15*'1 Enterprises'!V$6</f>
        <v>0</v>
      </c>
      <c r="AY15" s="166">
        <f>W15*'1 Enterprises'!W$6</f>
        <v>0</v>
      </c>
      <c r="AZ15" s="166">
        <f>X15*'1 Enterprises'!X$6</f>
        <v>0</v>
      </c>
      <c r="BA15" s="166">
        <f>Y15*'1 Enterprises'!Y$6</f>
        <v>0</v>
      </c>
      <c r="BB15" s="166">
        <f>Z15*'1 Enterprises'!Z$6</f>
        <v>0</v>
      </c>
      <c r="BC15" s="166">
        <f>AA15*'1 Enterprises'!AA$6</f>
        <v>0</v>
      </c>
      <c r="BD15" s="166">
        <f>AB15*'1 Enterprises'!AB$6</f>
        <v>0</v>
      </c>
    </row>
    <row r="16" spans="2:56" s="63" customFormat="1" ht="15">
      <c r="B16" s="67" t="str">
        <f>'2 Income Statement'!B39</f>
        <v> Liner Cost (Starting plant)</v>
      </c>
      <c r="C16" s="208" t="s">
        <v>320</v>
      </c>
      <c r="D16" s="153">
        <v>1.21</v>
      </c>
      <c r="E16" s="153">
        <v>3.15</v>
      </c>
      <c r="F16" s="153">
        <v>8.5</v>
      </c>
      <c r="G16" s="153">
        <v>1.65</v>
      </c>
      <c r="H16" s="153">
        <v>3.5</v>
      </c>
      <c r="I16" s="153">
        <v>9</v>
      </c>
      <c r="J16" s="153">
        <v>2.18</v>
      </c>
      <c r="K16" s="153">
        <v>3.7</v>
      </c>
      <c r="L16" s="153">
        <v>9.75</v>
      </c>
      <c r="M16" s="153">
        <v>8.5</v>
      </c>
      <c r="N16" s="153">
        <v>9</v>
      </c>
      <c r="O16" s="153">
        <v>9.75</v>
      </c>
      <c r="P16" s="153">
        <v>0</v>
      </c>
      <c r="Q16" s="153">
        <v>0</v>
      </c>
      <c r="R16" s="153">
        <v>0</v>
      </c>
      <c r="S16" s="153">
        <v>0</v>
      </c>
      <c r="T16" s="153">
        <v>0</v>
      </c>
      <c r="U16" s="153">
        <v>0</v>
      </c>
      <c r="V16" s="153">
        <v>0</v>
      </c>
      <c r="W16" s="153">
        <v>0</v>
      </c>
      <c r="X16" s="153">
        <v>0</v>
      </c>
      <c r="Y16" s="153">
        <v>0</v>
      </c>
      <c r="Z16" s="153">
        <v>0</v>
      </c>
      <c r="AA16" s="153">
        <v>0</v>
      </c>
      <c r="AB16" s="153">
        <v>0</v>
      </c>
      <c r="AE16" s="167">
        <f t="shared" si="4"/>
        <v>1077058</v>
      </c>
      <c r="AF16" s="166">
        <f>D16*'1 Enterprises'!D$6</f>
        <v>60500</v>
      </c>
      <c r="AG16" s="166">
        <f>E16*'1 Enterprises'!E$6</f>
        <v>66150</v>
      </c>
      <c r="AH16" s="166">
        <f>F16*'1 Enterprises'!F$6</f>
        <v>119000</v>
      </c>
      <c r="AI16" s="166">
        <f>G16*'1 Enterprises'!G$6</f>
        <v>114180</v>
      </c>
      <c r="AJ16" s="166">
        <f>H16*'1 Enterprises'!H$6</f>
        <v>99400</v>
      </c>
      <c r="AK16" s="166">
        <f>I16*'1 Enterprises'!I$6</f>
        <v>155700</v>
      </c>
      <c r="AL16" s="166">
        <f>J16*'1 Enterprises'!J$6</f>
        <v>71504</v>
      </c>
      <c r="AM16" s="166">
        <f>K16*'1 Enterprises'!K$6</f>
        <v>58349</v>
      </c>
      <c r="AN16" s="166">
        <f>L16*'1 Enterprises'!L$6</f>
        <v>298350</v>
      </c>
      <c r="AO16" s="166">
        <f>M16*'1 Enterprises'!M$6</f>
        <v>8500</v>
      </c>
      <c r="AP16" s="166">
        <f>N16*'1 Enterprises'!N$6</f>
        <v>10800</v>
      </c>
      <c r="AQ16" s="166">
        <f>O16*'1 Enterprises'!O$6</f>
        <v>14625</v>
      </c>
      <c r="AR16" s="166">
        <f>P16*'1 Enterprises'!P$6</f>
        <v>0</v>
      </c>
      <c r="AS16" s="166">
        <f>Q16*'1 Enterprises'!Q$6</f>
        <v>0</v>
      </c>
      <c r="AT16" s="166">
        <f>R16*'1 Enterprises'!R$6</f>
        <v>0</v>
      </c>
      <c r="AU16" s="166">
        <f>S16*'1 Enterprises'!S$6</f>
        <v>0</v>
      </c>
      <c r="AV16" s="166">
        <f>T16*'1 Enterprises'!T$6</f>
        <v>0</v>
      </c>
      <c r="AW16" s="166">
        <f>U16*'1 Enterprises'!U$6</f>
        <v>0</v>
      </c>
      <c r="AX16" s="166">
        <f>V16*'1 Enterprises'!V$6</f>
        <v>0</v>
      </c>
      <c r="AY16" s="166">
        <f>W16*'1 Enterprises'!W$6</f>
        <v>0</v>
      </c>
      <c r="AZ16" s="166">
        <f>X16*'1 Enterprises'!X$6</f>
        <v>0</v>
      </c>
      <c r="BA16" s="166">
        <f>Y16*'1 Enterprises'!Y$6</f>
        <v>0</v>
      </c>
      <c r="BB16" s="166">
        <f>Z16*'1 Enterprises'!Z$6</f>
        <v>0</v>
      </c>
      <c r="BC16" s="166">
        <f>AA16*'1 Enterprises'!AA$6</f>
        <v>0</v>
      </c>
      <c r="BD16" s="166">
        <f>AB16*'1 Enterprises'!AB$6</f>
        <v>0</v>
      </c>
    </row>
    <row r="17" spans="2:56" s="63" customFormat="1" ht="15">
      <c r="B17" s="67" t="str">
        <f>'2 Income Statement'!B40</f>
        <v> Planting Materials (stake, ties, tags, trellis, etc.)</v>
      </c>
      <c r="C17" s="208" t="s">
        <v>320</v>
      </c>
      <c r="D17" s="153">
        <v>0.005</v>
      </c>
      <c r="E17" s="153">
        <v>0.005</v>
      </c>
      <c r="F17" s="153">
        <v>0.005</v>
      </c>
      <c r="G17" s="153">
        <v>0.005</v>
      </c>
      <c r="H17" s="153">
        <v>0.005</v>
      </c>
      <c r="I17" s="153">
        <v>0.005</v>
      </c>
      <c r="J17" s="153">
        <v>0.005</v>
      </c>
      <c r="K17" s="153">
        <v>0.005</v>
      </c>
      <c r="L17" s="153">
        <v>0.005</v>
      </c>
      <c r="M17" s="153">
        <v>5</v>
      </c>
      <c r="N17" s="153">
        <v>5</v>
      </c>
      <c r="O17" s="153">
        <v>5</v>
      </c>
      <c r="P17" s="153">
        <v>0</v>
      </c>
      <c r="Q17" s="153">
        <v>0</v>
      </c>
      <c r="R17" s="153">
        <v>0</v>
      </c>
      <c r="S17" s="153">
        <v>0</v>
      </c>
      <c r="T17" s="153">
        <v>0</v>
      </c>
      <c r="U17" s="153">
        <v>0</v>
      </c>
      <c r="V17" s="153">
        <v>0</v>
      </c>
      <c r="W17" s="153">
        <v>0</v>
      </c>
      <c r="X17" s="153">
        <v>0</v>
      </c>
      <c r="Y17" s="153">
        <v>0</v>
      </c>
      <c r="Z17" s="153">
        <v>0</v>
      </c>
      <c r="AA17" s="153">
        <v>0</v>
      </c>
      <c r="AB17" s="153">
        <v>0</v>
      </c>
      <c r="AE17" s="167">
        <f t="shared" si="4"/>
        <v>19895.35</v>
      </c>
      <c r="AF17" s="166">
        <f>D17*'1 Enterprises'!D$6</f>
        <v>250</v>
      </c>
      <c r="AG17" s="166">
        <f>E17*'1 Enterprises'!E$6</f>
        <v>105</v>
      </c>
      <c r="AH17" s="166">
        <f>F17*'1 Enterprises'!F$6</f>
        <v>70</v>
      </c>
      <c r="AI17" s="166">
        <f>G17*'1 Enterprises'!G$6</f>
        <v>346</v>
      </c>
      <c r="AJ17" s="166">
        <f>H17*'1 Enterprises'!H$6</f>
        <v>142</v>
      </c>
      <c r="AK17" s="166">
        <f>I17*'1 Enterprises'!I$6</f>
        <v>86.5</v>
      </c>
      <c r="AL17" s="166">
        <f>J17*'1 Enterprises'!J$6</f>
        <v>164</v>
      </c>
      <c r="AM17" s="166">
        <f>K17*'1 Enterprises'!K$6</f>
        <v>78.85000000000001</v>
      </c>
      <c r="AN17" s="166">
        <f>L17*'1 Enterprises'!L$6</f>
        <v>153</v>
      </c>
      <c r="AO17" s="166">
        <f>M17*'1 Enterprises'!M$6</f>
        <v>5000</v>
      </c>
      <c r="AP17" s="166">
        <f>N17*'1 Enterprises'!N$6</f>
        <v>6000</v>
      </c>
      <c r="AQ17" s="166">
        <f>O17*'1 Enterprises'!O$6</f>
        <v>7500</v>
      </c>
      <c r="AR17" s="166">
        <f>P17*'1 Enterprises'!P$6</f>
        <v>0</v>
      </c>
      <c r="AS17" s="166">
        <f>Q17*'1 Enterprises'!Q$6</f>
        <v>0</v>
      </c>
      <c r="AT17" s="166">
        <f>R17*'1 Enterprises'!R$6</f>
        <v>0</v>
      </c>
      <c r="AU17" s="166">
        <f>S17*'1 Enterprises'!S$6</f>
        <v>0</v>
      </c>
      <c r="AV17" s="166">
        <f>T17*'1 Enterprises'!T$6</f>
        <v>0</v>
      </c>
      <c r="AW17" s="166">
        <f>U17*'1 Enterprises'!U$6</f>
        <v>0</v>
      </c>
      <c r="AX17" s="166">
        <f>V17*'1 Enterprises'!V$6</f>
        <v>0</v>
      </c>
      <c r="AY17" s="166">
        <f>W17*'1 Enterprises'!W$6</f>
        <v>0</v>
      </c>
      <c r="AZ17" s="166">
        <f>X17*'1 Enterprises'!X$6</f>
        <v>0</v>
      </c>
      <c r="BA17" s="166">
        <f>Y17*'1 Enterprises'!Y$6</f>
        <v>0</v>
      </c>
      <c r="BB17" s="166">
        <f>Z17*'1 Enterprises'!Z$6</f>
        <v>0</v>
      </c>
      <c r="BC17" s="166">
        <f>AA17*'1 Enterprises'!AA$6</f>
        <v>0</v>
      </c>
      <c r="BD17" s="166">
        <f>AB17*'1 Enterprises'!AB$6</f>
        <v>0</v>
      </c>
    </row>
    <row r="18" spans="2:56" s="63" customFormat="1" ht="12.75">
      <c r="B18" s="67" t="str">
        <f>'2 Income Statement'!B41</f>
        <v> Fertilizer</v>
      </c>
      <c r="C18" s="208" t="s">
        <v>416</v>
      </c>
      <c r="D18" s="62">
        <f>'3 Fertilizer'!N4</f>
        <v>0.02486772486772487</v>
      </c>
      <c r="E18" s="62">
        <f>'3 Fertilizer'!N5</f>
        <v>0.21966490299823635</v>
      </c>
      <c r="F18" s="62">
        <f>'3 Fertilizer'!N6</f>
        <v>0.8206349206349206</v>
      </c>
      <c r="G18" s="62">
        <f>'3 Fertilizer'!N7</f>
        <v>0.02486772486772487</v>
      </c>
      <c r="H18" s="62">
        <f>'3 Fertilizer'!N8</f>
        <v>0.21966490299823635</v>
      </c>
      <c r="I18" s="62">
        <f>'3 Fertilizer'!N9</f>
        <v>0.8206349206349206</v>
      </c>
      <c r="J18" s="62">
        <f>'3 Fertilizer'!N10</f>
        <v>0.02486772486772487</v>
      </c>
      <c r="K18" s="62">
        <f>'3 Fertilizer'!N11</f>
        <v>0.21966490299823635</v>
      </c>
      <c r="L18" s="62">
        <f>'3 Fertilizer'!N12</f>
        <v>0.8206349206349206</v>
      </c>
      <c r="M18" s="62">
        <f>'3 Fertilizer'!N13</f>
        <v>0.5312868949232586</v>
      </c>
      <c r="N18" s="62">
        <f>'3 Fertilizer'!N14</f>
        <v>0.5312868949232586</v>
      </c>
      <c r="O18" s="62">
        <f>'3 Fertilizer'!N15</f>
        <v>0.5312868949232586</v>
      </c>
      <c r="P18" s="62">
        <f>'3 Fertilizer'!N16</f>
        <v>0</v>
      </c>
      <c r="Q18" s="62">
        <f>'3 Fertilizer'!N17</f>
        <v>0</v>
      </c>
      <c r="R18" s="62">
        <f>'3 Fertilizer'!N18</f>
        <v>0</v>
      </c>
      <c r="S18" s="62">
        <f>'3 Fertilizer'!N19</f>
        <v>0</v>
      </c>
      <c r="T18" s="62">
        <f>'3 Fertilizer'!N20</f>
        <v>0</v>
      </c>
      <c r="U18" s="62">
        <f>'3 Fertilizer'!N21</f>
        <v>0</v>
      </c>
      <c r="V18" s="62">
        <f>'3 Fertilizer'!N22</f>
        <v>0</v>
      </c>
      <c r="W18" s="62">
        <f>'3 Fertilizer'!N23</f>
        <v>0</v>
      </c>
      <c r="X18" s="62">
        <f>'3 Fertilizer'!N24</f>
        <v>0</v>
      </c>
      <c r="Y18" s="62">
        <f>'3 Fertilizer'!N25</f>
        <v>0</v>
      </c>
      <c r="Z18" s="62">
        <f>'3 Fertilizer'!N26</f>
        <v>0</v>
      </c>
      <c r="AA18" s="62">
        <f>'3 Fertilizer'!N27</f>
        <v>0</v>
      </c>
      <c r="AB18" s="62">
        <f>'3 Fertilizer'!N28</f>
        <v>0</v>
      </c>
      <c r="AE18" s="167">
        <f t="shared" si="4"/>
        <v>70858.51900680689</v>
      </c>
      <c r="AF18" s="166">
        <f>D18*'1 Enterprises'!D$6</f>
        <v>1243.3862433862435</v>
      </c>
      <c r="AG18" s="166">
        <f>E18*'1 Enterprises'!E$6</f>
        <v>4612.9629629629635</v>
      </c>
      <c r="AH18" s="166">
        <f>F18*'1 Enterprises'!F$6</f>
        <v>11488.888888888889</v>
      </c>
      <c r="AI18" s="166">
        <f>G18*'1 Enterprises'!G$6</f>
        <v>1720.8465608465608</v>
      </c>
      <c r="AJ18" s="166">
        <f>H18*'1 Enterprises'!H$6</f>
        <v>6238.483245149912</v>
      </c>
      <c r="AK18" s="166">
        <f>I18*'1 Enterprises'!I$6</f>
        <v>14196.984126984127</v>
      </c>
      <c r="AL18" s="166">
        <f>J18*'1 Enterprises'!J$6</f>
        <v>815.6613756613757</v>
      </c>
      <c r="AM18" s="166">
        <f>K18*'1 Enterprises'!K$6</f>
        <v>3464.1155202821874</v>
      </c>
      <c r="AN18" s="166">
        <f>L18*'1 Enterprises'!L$6</f>
        <v>25111.42857142857</v>
      </c>
      <c r="AO18" s="166">
        <f>M18*'1 Enterprises'!M$6</f>
        <v>531.2868949232586</v>
      </c>
      <c r="AP18" s="166">
        <f>N18*'1 Enterprises'!N$6</f>
        <v>637.5442739079103</v>
      </c>
      <c r="AQ18" s="166">
        <f>O18*'1 Enterprises'!O$6</f>
        <v>796.9303423848879</v>
      </c>
      <c r="AR18" s="166">
        <f>P18*'1 Enterprises'!P$6</f>
        <v>0</v>
      </c>
      <c r="AS18" s="166">
        <f>Q18*'1 Enterprises'!Q$6</f>
        <v>0</v>
      </c>
      <c r="AT18" s="166">
        <f>R18*'1 Enterprises'!R$6</f>
        <v>0</v>
      </c>
      <c r="AU18" s="166">
        <f>S18*'1 Enterprises'!S$6</f>
        <v>0</v>
      </c>
      <c r="AV18" s="166">
        <f>T18*'1 Enterprises'!T$6</f>
        <v>0</v>
      </c>
      <c r="AW18" s="166">
        <f>U18*'1 Enterprises'!U$6</f>
        <v>0</v>
      </c>
      <c r="AX18" s="166">
        <f>V18*'1 Enterprises'!V$6</f>
        <v>0</v>
      </c>
      <c r="AY18" s="166">
        <f>W18*'1 Enterprises'!W$6</f>
        <v>0</v>
      </c>
      <c r="AZ18" s="166">
        <f>X18*'1 Enterprises'!X$6</f>
        <v>0</v>
      </c>
      <c r="BA18" s="166">
        <f>Y18*'1 Enterprises'!Y$6</f>
        <v>0</v>
      </c>
      <c r="BB18" s="166">
        <f>Z18*'1 Enterprises'!Z$6</f>
        <v>0</v>
      </c>
      <c r="BC18" s="166">
        <f>AA18*'1 Enterprises'!AA$6</f>
        <v>0</v>
      </c>
      <c r="BD18" s="166">
        <f>AB18*'1 Enterprises'!AB$6</f>
        <v>0</v>
      </c>
    </row>
    <row r="19" spans="2:56" s="63" customFormat="1" ht="12.75">
      <c r="B19" s="67" t="str">
        <f>'2 Income Statement'!B42</f>
        <v> Pest Control Chemicals</v>
      </c>
      <c r="C19" s="208" t="s">
        <v>416</v>
      </c>
      <c r="D19" s="62">
        <f>'4 Pesticide'!O5</f>
        <v>0.010567646158555249</v>
      </c>
      <c r="E19" s="62">
        <f>'4 Pesticide'!O6</f>
        <v>0.03822692837465565</v>
      </c>
      <c r="F19" s="62">
        <f>'4 Pesticide'!O7</f>
        <v>0.13950929752066116</v>
      </c>
      <c r="G19" s="62">
        <f>'4 Pesticide'!O8</f>
        <v>0.010567646158555249</v>
      </c>
      <c r="H19" s="62">
        <f>'4 Pesticide'!O9</f>
        <v>0.03822692837465565</v>
      </c>
      <c r="I19" s="62">
        <f>'4 Pesticide'!O10</f>
        <v>0.13950929752066116</v>
      </c>
      <c r="J19" s="62">
        <f>'4 Pesticide'!O11</f>
        <v>0.010567646158555249</v>
      </c>
      <c r="K19" s="62">
        <f>'4 Pesticide'!O12</f>
        <v>0.03822692837465565</v>
      </c>
      <c r="L19" s="62">
        <f>'4 Pesticide'!O13</f>
        <v>0.13950929752066116</v>
      </c>
      <c r="M19" s="62">
        <f>'4 Pesticide'!O14</f>
        <v>2.5730224321133415</v>
      </c>
      <c r="N19" s="62">
        <f>'4 Pesticide'!O15</f>
        <v>2.5730224321133415</v>
      </c>
      <c r="O19" s="62">
        <f>'4 Pesticide'!O16</f>
        <v>2.5730224321133415</v>
      </c>
      <c r="P19" s="62">
        <f>'4 Pesticide'!O17</f>
        <v>0</v>
      </c>
      <c r="Q19" s="62">
        <f>'4 Pesticide'!O18</f>
        <v>0</v>
      </c>
      <c r="R19" s="62">
        <f>'4 Pesticide'!O19</f>
        <v>0</v>
      </c>
      <c r="S19" s="62">
        <f>'4 Pesticide'!O20</f>
        <v>0</v>
      </c>
      <c r="T19" s="62">
        <f>'4 Pesticide'!O21</f>
        <v>0</v>
      </c>
      <c r="U19" s="62">
        <f>'4 Pesticide'!O22</f>
        <v>0</v>
      </c>
      <c r="V19" s="62">
        <f>'4 Pesticide'!O23</f>
        <v>0</v>
      </c>
      <c r="W19" s="62">
        <f>'4 Pesticide'!O24</f>
        <v>0</v>
      </c>
      <c r="X19" s="62">
        <f>'4 Pesticide'!O25</f>
        <v>0</v>
      </c>
      <c r="Y19" s="62">
        <f>'4 Pesticide'!O26</f>
        <v>0</v>
      </c>
      <c r="Z19" s="62">
        <f>'4 Pesticide'!O27</f>
        <v>0</v>
      </c>
      <c r="AA19" s="62">
        <f>'4 Pesticide'!O28</f>
        <v>0</v>
      </c>
      <c r="AB19" s="62">
        <f>'4 Pesticide'!O29</f>
        <v>0</v>
      </c>
      <c r="AE19" s="167">
        <f t="shared" si="4"/>
        <v>22253.339653624993</v>
      </c>
      <c r="AF19" s="166">
        <f>D19*'1 Enterprises'!D$6</f>
        <v>528.3823079277624</v>
      </c>
      <c r="AG19" s="166">
        <f>E19*'1 Enterprises'!E$6</f>
        <v>802.7654958677685</v>
      </c>
      <c r="AH19" s="166">
        <f>F19*'1 Enterprises'!F$6</f>
        <v>1953.1301652892562</v>
      </c>
      <c r="AI19" s="166">
        <f>G19*'1 Enterprises'!G$6</f>
        <v>731.2811141720232</v>
      </c>
      <c r="AJ19" s="166">
        <f>H19*'1 Enterprises'!H$6</f>
        <v>1085.6447658402203</v>
      </c>
      <c r="AK19" s="166">
        <f>I19*'1 Enterprises'!I$6</f>
        <v>2413.510847107438</v>
      </c>
      <c r="AL19" s="166">
        <f>J19*'1 Enterprises'!J$6</f>
        <v>346.6187940006122</v>
      </c>
      <c r="AM19" s="166">
        <f>K19*'1 Enterprises'!K$6</f>
        <v>602.8386604683195</v>
      </c>
      <c r="AN19" s="166">
        <f>L19*'1 Enterprises'!L$6</f>
        <v>4268.984504132231</v>
      </c>
      <c r="AO19" s="166">
        <f>M19*'1 Enterprises'!M$6</f>
        <v>2573.0224321133414</v>
      </c>
      <c r="AP19" s="166">
        <f>N19*'1 Enterprises'!N$6</f>
        <v>3087.6269185360097</v>
      </c>
      <c r="AQ19" s="166">
        <f>O19*'1 Enterprises'!O$6</f>
        <v>3859.5336481700124</v>
      </c>
      <c r="AR19" s="166">
        <f>P19*'1 Enterprises'!P$6</f>
        <v>0</v>
      </c>
      <c r="AS19" s="166">
        <f>Q19*'1 Enterprises'!Q$6</f>
        <v>0</v>
      </c>
      <c r="AT19" s="166">
        <f>R19*'1 Enterprises'!R$6</f>
        <v>0</v>
      </c>
      <c r="AU19" s="166">
        <f>S19*'1 Enterprises'!S$6</f>
        <v>0</v>
      </c>
      <c r="AV19" s="166">
        <f>T19*'1 Enterprises'!T$6</f>
        <v>0</v>
      </c>
      <c r="AW19" s="166">
        <f>U19*'1 Enterprises'!U$6</f>
        <v>0</v>
      </c>
      <c r="AX19" s="166">
        <f>V19*'1 Enterprises'!V$6</f>
        <v>0</v>
      </c>
      <c r="AY19" s="166">
        <f>W19*'1 Enterprises'!W$6</f>
        <v>0</v>
      </c>
      <c r="AZ19" s="166">
        <f>X19*'1 Enterprises'!X$6</f>
        <v>0</v>
      </c>
      <c r="BA19" s="166">
        <f>Y19*'1 Enterprises'!Y$6</f>
        <v>0</v>
      </c>
      <c r="BB19" s="166">
        <f>Z19*'1 Enterprises'!Z$6</f>
        <v>0</v>
      </c>
      <c r="BC19" s="166">
        <f>AA19*'1 Enterprises'!AA$6</f>
        <v>0</v>
      </c>
      <c r="BD19" s="166">
        <f>AB19*'1 Enterprises'!AB$6</f>
        <v>0</v>
      </c>
    </row>
    <row r="20" spans="2:56" s="63" customFormat="1" ht="15">
      <c r="B20" s="67" t="str">
        <f>'2 Income Statement'!B43</f>
        <v> Labor - Planting</v>
      </c>
      <c r="C20" s="208" t="s">
        <v>320</v>
      </c>
      <c r="D20" s="153">
        <v>0.069</v>
      </c>
      <c r="E20" s="153">
        <v>0.069</v>
      </c>
      <c r="F20" s="153">
        <v>0.075</v>
      </c>
      <c r="G20" s="153">
        <v>0.069</v>
      </c>
      <c r="H20" s="153">
        <v>0.069</v>
      </c>
      <c r="I20" s="153">
        <v>0.075</v>
      </c>
      <c r="J20" s="153">
        <v>0.069</v>
      </c>
      <c r="K20" s="153">
        <v>0.069</v>
      </c>
      <c r="L20" s="153">
        <v>0.075</v>
      </c>
      <c r="M20" s="153">
        <v>0.041</v>
      </c>
      <c r="N20" s="153">
        <v>0.041</v>
      </c>
      <c r="O20" s="153">
        <v>0.041</v>
      </c>
      <c r="P20" s="153">
        <v>0</v>
      </c>
      <c r="Q20" s="153">
        <v>0</v>
      </c>
      <c r="R20" s="153">
        <v>0</v>
      </c>
      <c r="S20" s="153">
        <v>0</v>
      </c>
      <c r="T20" s="153">
        <v>0</v>
      </c>
      <c r="U20" s="153">
        <v>0</v>
      </c>
      <c r="V20" s="153">
        <v>0</v>
      </c>
      <c r="W20" s="153">
        <v>0</v>
      </c>
      <c r="X20" s="153">
        <v>0</v>
      </c>
      <c r="Y20" s="153">
        <v>0</v>
      </c>
      <c r="Z20" s="153">
        <v>0</v>
      </c>
      <c r="AA20" s="153">
        <v>0</v>
      </c>
      <c r="AB20" s="153">
        <v>0</v>
      </c>
      <c r="AE20" s="167">
        <f t="shared" si="4"/>
        <v>19778.930000000004</v>
      </c>
      <c r="AF20" s="166">
        <f>D20*'1 Enterprises'!D$6</f>
        <v>3450.0000000000005</v>
      </c>
      <c r="AG20" s="166">
        <f>E20*'1 Enterprises'!E$6</f>
        <v>1449.0000000000002</v>
      </c>
      <c r="AH20" s="166">
        <f>F20*'1 Enterprises'!F$6</f>
        <v>1050</v>
      </c>
      <c r="AI20" s="166">
        <f>G20*'1 Enterprises'!G$6</f>
        <v>4774.8</v>
      </c>
      <c r="AJ20" s="166">
        <f>H20*'1 Enterprises'!H$6</f>
        <v>1959.6000000000001</v>
      </c>
      <c r="AK20" s="166">
        <f>I20*'1 Enterprises'!I$6</f>
        <v>1297.5</v>
      </c>
      <c r="AL20" s="166">
        <f>J20*'1 Enterprises'!J$6</f>
        <v>2263.2000000000003</v>
      </c>
      <c r="AM20" s="166">
        <f>K20*'1 Enterprises'!K$6</f>
        <v>1088.13</v>
      </c>
      <c r="AN20" s="166">
        <f>L20*'1 Enterprises'!L$6</f>
        <v>2295</v>
      </c>
      <c r="AO20" s="166">
        <f>M20*'1 Enterprises'!M$6</f>
        <v>41</v>
      </c>
      <c r="AP20" s="166">
        <f>N20*'1 Enterprises'!N$6</f>
        <v>49.2</v>
      </c>
      <c r="AQ20" s="166">
        <f>O20*'1 Enterprises'!O$6</f>
        <v>61.5</v>
      </c>
      <c r="AR20" s="166">
        <f>P20*'1 Enterprises'!P$6</f>
        <v>0</v>
      </c>
      <c r="AS20" s="166">
        <f>Q20*'1 Enterprises'!Q$6</f>
        <v>0</v>
      </c>
      <c r="AT20" s="166">
        <f>R20*'1 Enterprises'!R$6</f>
        <v>0</v>
      </c>
      <c r="AU20" s="166">
        <f>S20*'1 Enterprises'!S$6</f>
        <v>0</v>
      </c>
      <c r="AV20" s="166">
        <f>T20*'1 Enterprises'!T$6</f>
        <v>0</v>
      </c>
      <c r="AW20" s="166">
        <f>U20*'1 Enterprises'!U$6</f>
        <v>0</v>
      </c>
      <c r="AX20" s="166">
        <f>V20*'1 Enterprises'!V$6</f>
        <v>0</v>
      </c>
      <c r="AY20" s="166">
        <f>W20*'1 Enterprises'!W$6</f>
        <v>0</v>
      </c>
      <c r="AZ20" s="166">
        <f>X20*'1 Enterprises'!X$6</f>
        <v>0</v>
      </c>
      <c r="BA20" s="166">
        <f>Y20*'1 Enterprises'!Y$6</f>
        <v>0</v>
      </c>
      <c r="BB20" s="166">
        <f>Z20*'1 Enterprises'!Z$6</f>
        <v>0</v>
      </c>
      <c r="BC20" s="166">
        <f>AA20*'1 Enterprises'!AA$6</f>
        <v>0</v>
      </c>
      <c r="BD20" s="166">
        <f>AB20*'1 Enterprises'!AB$6</f>
        <v>0</v>
      </c>
    </row>
    <row r="21" spans="2:56" s="63" customFormat="1" ht="15">
      <c r="B21" s="67" t="str">
        <f>'2 Income Statement'!B44</f>
        <v> Labor - Maintenance</v>
      </c>
      <c r="C21" s="208" t="s">
        <v>409</v>
      </c>
      <c r="D21" s="153">
        <v>0.29</v>
      </c>
      <c r="E21" s="153">
        <v>0.29</v>
      </c>
      <c r="F21" s="153">
        <v>0.37</v>
      </c>
      <c r="G21" s="153">
        <v>0.29</v>
      </c>
      <c r="H21" s="153">
        <v>0.29</v>
      </c>
      <c r="I21" s="153">
        <v>0.37</v>
      </c>
      <c r="J21" s="153">
        <v>0.29</v>
      </c>
      <c r="K21" s="153">
        <v>0.29</v>
      </c>
      <c r="L21" s="153">
        <v>0.37</v>
      </c>
      <c r="M21" s="153">
        <v>0.108</v>
      </c>
      <c r="N21" s="153">
        <v>0.108</v>
      </c>
      <c r="O21" s="153">
        <v>0.108</v>
      </c>
      <c r="P21" s="153">
        <v>0</v>
      </c>
      <c r="Q21" s="153">
        <v>0</v>
      </c>
      <c r="R21" s="153">
        <v>0</v>
      </c>
      <c r="S21" s="153">
        <v>0</v>
      </c>
      <c r="T21" s="153">
        <v>0</v>
      </c>
      <c r="U21" s="153">
        <v>0</v>
      </c>
      <c r="V21" s="153">
        <v>0</v>
      </c>
      <c r="W21" s="153">
        <v>0</v>
      </c>
      <c r="X21" s="153">
        <v>0</v>
      </c>
      <c r="Y21" s="153">
        <v>0</v>
      </c>
      <c r="Z21" s="153">
        <v>0</v>
      </c>
      <c r="AA21" s="153">
        <v>0</v>
      </c>
      <c r="AB21" s="153">
        <v>0</v>
      </c>
      <c r="AE21" s="167"/>
      <c r="AF21" s="166">
        <f>D21*'1 Enterprises'!D$6</f>
        <v>14499.999999999998</v>
      </c>
      <c r="AG21" s="166">
        <f>E21*'1 Enterprises'!E$6</f>
        <v>6090</v>
      </c>
      <c r="AH21" s="166">
        <f>F21*'1 Enterprises'!F$6</f>
        <v>5180</v>
      </c>
      <c r="AI21" s="166">
        <f>G21*'1 Enterprises'!G$6</f>
        <v>20068</v>
      </c>
      <c r="AJ21" s="166">
        <f>H21*'1 Enterprises'!H$6</f>
        <v>8236</v>
      </c>
      <c r="AK21" s="166">
        <f>I21*'1 Enterprises'!I$6</f>
        <v>6401</v>
      </c>
      <c r="AL21" s="166">
        <f>J21*'1 Enterprises'!J$6</f>
        <v>9512</v>
      </c>
      <c r="AM21" s="166">
        <f>K21*'1 Enterprises'!K$6</f>
        <v>4573.299999999999</v>
      </c>
      <c r="AN21" s="166">
        <f>L21*'1 Enterprises'!L$6</f>
        <v>11322</v>
      </c>
      <c r="AO21" s="166">
        <f>M21*'1 Enterprises'!M$6</f>
        <v>108</v>
      </c>
      <c r="AP21" s="166">
        <f>N21*'1 Enterprises'!N$6</f>
        <v>129.6</v>
      </c>
      <c r="AQ21" s="166">
        <f>O21*'1 Enterprises'!O$6</f>
        <v>162</v>
      </c>
      <c r="AR21" s="166">
        <f>P21*'1 Enterprises'!P$6</f>
        <v>0</v>
      </c>
      <c r="AS21" s="166">
        <f>Q21*'1 Enterprises'!Q$6</f>
        <v>0</v>
      </c>
      <c r="AT21" s="166">
        <f>R21*'1 Enterprises'!R$6</f>
        <v>0</v>
      </c>
      <c r="AU21" s="166">
        <f>S21*'1 Enterprises'!S$6</f>
        <v>0</v>
      </c>
      <c r="AV21" s="166">
        <f>T21*'1 Enterprises'!T$6</f>
        <v>0</v>
      </c>
      <c r="AW21" s="166">
        <f>U21*'1 Enterprises'!U$6</f>
        <v>0</v>
      </c>
      <c r="AX21" s="166">
        <f>V21*'1 Enterprises'!V$6</f>
        <v>0</v>
      </c>
      <c r="AY21" s="166">
        <f>W21*'1 Enterprises'!W$6</f>
        <v>0</v>
      </c>
      <c r="AZ21" s="166">
        <f>X21*'1 Enterprises'!X$6</f>
        <v>0</v>
      </c>
      <c r="BA21" s="166">
        <f>Y21*'1 Enterprises'!Y$6</f>
        <v>0</v>
      </c>
      <c r="BB21" s="166">
        <f>Z21*'1 Enterprises'!Z$6</f>
        <v>0</v>
      </c>
      <c r="BC21" s="166">
        <f>AA21*'1 Enterprises'!AA$6</f>
        <v>0</v>
      </c>
      <c r="BD21" s="166">
        <f>AB21*'1 Enterprises'!AB$6</f>
        <v>0</v>
      </c>
    </row>
    <row r="22" spans="2:56" s="63" customFormat="1" ht="12.75">
      <c r="B22" s="67" t="s">
        <v>406</v>
      </c>
      <c r="C22" s="208" t="s">
        <v>416</v>
      </c>
      <c r="D22" s="61">
        <f>D21*'1 Enterprises'!D22/52</f>
        <v>0.2907967032967033</v>
      </c>
      <c r="E22" s="61">
        <f>E21*'1 Enterprises'!E22/52</f>
        <v>0.5075</v>
      </c>
      <c r="F22" s="61">
        <f>F21*'1 Enterprises'!F22/52</f>
        <v>0.7410164835164834</v>
      </c>
      <c r="G22" s="61">
        <f>G21*'1 Enterprises'!G22/52</f>
        <v>0.2907967032967033</v>
      </c>
      <c r="H22" s="61">
        <f>H21*'1 Enterprises'!H22/52</f>
        <v>0.5075</v>
      </c>
      <c r="I22" s="61">
        <f>I21*'1 Enterprises'!I22/52</f>
        <v>0.7410164835164834</v>
      </c>
      <c r="J22" s="61">
        <f>J21*'1 Enterprises'!J22/52</f>
        <v>0.2907967032967033</v>
      </c>
      <c r="K22" s="61">
        <f>K21*'1 Enterprises'!K22/52</f>
        <v>0.5075</v>
      </c>
      <c r="L22" s="61">
        <f>L21*'1 Enterprises'!L22/52</f>
        <v>0.7410164835164834</v>
      </c>
      <c r="M22" s="61">
        <f>M21*'1 Enterprises'!M22/52</f>
        <v>0.30115384615384616</v>
      </c>
      <c r="N22" s="61">
        <f>N21*'1 Enterprises'!N22/52</f>
        <v>0.30115384615384616</v>
      </c>
      <c r="O22" s="61">
        <f>O21*'1 Enterprises'!O22/52</f>
        <v>0.30115384615384616</v>
      </c>
      <c r="P22" s="61">
        <f>P21*'1 Enterprises'!P22/52</f>
        <v>0</v>
      </c>
      <c r="Q22" s="61">
        <f>Q21*'1 Enterprises'!Q22/52</f>
        <v>0</v>
      </c>
      <c r="R22" s="61">
        <f>R21*'1 Enterprises'!R22/52</f>
        <v>0</v>
      </c>
      <c r="S22" s="61">
        <f>S21*'1 Enterprises'!S22/52</f>
        <v>0</v>
      </c>
      <c r="T22" s="61">
        <f>T21*'1 Enterprises'!T22/52</f>
        <v>0</v>
      </c>
      <c r="U22" s="61">
        <f>U21*'1 Enterprises'!U22/52</f>
        <v>0</v>
      </c>
      <c r="V22" s="61">
        <f>V21*'1 Enterprises'!V22/52</f>
        <v>0</v>
      </c>
      <c r="W22" s="61">
        <f>W21*'1 Enterprises'!W22/52</f>
        <v>0</v>
      </c>
      <c r="X22" s="61">
        <f>X21*'1 Enterprises'!X22/52</f>
        <v>0</v>
      </c>
      <c r="Y22" s="61">
        <f>Y21*'1 Enterprises'!Y22/52</f>
        <v>0</v>
      </c>
      <c r="Z22" s="61">
        <f>Z21*'1 Enterprises'!Z22/52</f>
        <v>0</v>
      </c>
      <c r="AA22" s="61">
        <f>AA21*'1 Enterprises'!AA22/52</f>
        <v>0</v>
      </c>
      <c r="AB22" s="61">
        <f>AB21*'1 Enterprises'!AB22/52</f>
        <v>0</v>
      </c>
      <c r="AE22" s="167">
        <f t="shared" si="4"/>
        <v>124258.06346153843</v>
      </c>
      <c r="AF22" s="166">
        <f>D22*'1 Enterprises'!D$6</f>
        <v>14539.835164835165</v>
      </c>
      <c r="AG22" s="166">
        <f>E22*'1 Enterprises'!E$6</f>
        <v>10657.499999999998</v>
      </c>
      <c r="AH22" s="166">
        <f>F22*'1 Enterprises'!F$6</f>
        <v>10374.230769230768</v>
      </c>
      <c r="AI22" s="166">
        <f>G22*'1 Enterprises'!G$6</f>
        <v>20123.13186813187</v>
      </c>
      <c r="AJ22" s="166">
        <f>H22*'1 Enterprises'!H$6</f>
        <v>14412.999999999998</v>
      </c>
      <c r="AK22" s="166">
        <f>I22*'1 Enterprises'!I$6</f>
        <v>12819.585164835164</v>
      </c>
      <c r="AL22" s="166">
        <f>J22*'1 Enterprises'!J$6</f>
        <v>9538.131868131868</v>
      </c>
      <c r="AM22" s="166">
        <f>K22*'1 Enterprises'!K$6</f>
        <v>8003.275</v>
      </c>
      <c r="AN22" s="166">
        <f>L22*'1 Enterprises'!L$6</f>
        <v>22675.104395604394</v>
      </c>
      <c r="AO22" s="166">
        <f>M22*'1 Enterprises'!M$6</f>
        <v>301.1538461538462</v>
      </c>
      <c r="AP22" s="166">
        <f>N22*'1 Enterprises'!N$6</f>
        <v>361.3846153846154</v>
      </c>
      <c r="AQ22" s="166">
        <f>O22*'1 Enterprises'!O$6</f>
        <v>451.7307692307692</v>
      </c>
      <c r="AR22" s="166">
        <f>P22*'1 Enterprises'!P$6</f>
        <v>0</v>
      </c>
      <c r="AS22" s="166">
        <f>Q22*'1 Enterprises'!Q$6</f>
        <v>0</v>
      </c>
      <c r="AT22" s="166">
        <f>R22*'1 Enterprises'!R$6</f>
        <v>0</v>
      </c>
      <c r="AU22" s="166">
        <f>S22*'1 Enterprises'!S$6</f>
        <v>0</v>
      </c>
      <c r="AV22" s="166">
        <f>T22*'1 Enterprises'!T$6</f>
        <v>0</v>
      </c>
      <c r="AW22" s="166">
        <f>U22*'1 Enterprises'!U$6</f>
        <v>0</v>
      </c>
      <c r="AX22" s="166">
        <f>V22*'1 Enterprises'!V$6</f>
        <v>0</v>
      </c>
      <c r="AY22" s="166">
        <f>W22*'1 Enterprises'!W$6</f>
        <v>0</v>
      </c>
      <c r="AZ22" s="166">
        <f>X22*'1 Enterprises'!X$6</f>
        <v>0</v>
      </c>
      <c r="BA22" s="166">
        <f>Y22*'1 Enterprises'!Y$6</f>
        <v>0</v>
      </c>
      <c r="BB22" s="166">
        <f>Z22*'1 Enterprises'!Z$6</f>
        <v>0</v>
      </c>
      <c r="BC22" s="166">
        <f>AA22*'1 Enterprises'!AA$6</f>
        <v>0</v>
      </c>
      <c r="BD22" s="166">
        <f>AB22*'1 Enterprises'!AB$6</f>
        <v>0</v>
      </c>
    </row>
    <row r="23" spans="2:56" s="63" customFormat="1" ht="15">
      <c r="B23" s="67" t="str">
        <f>'2 Income Statement'!B45</f>
        <v> Labor - Harvest</v>
      </c>
      <c r="C23" s="208" t="s">
        <v>417</v>
      </c>
      <c r="D23" s="153">
        <v>0.058</v>
      </c>
      <c r="E23" s="153">
        <v>0.058</v>
      </c>
      <c r="F23" s="153">
        <v>0.069</v>
      </c>
      <c r="G23" s="153">
        <v>0.058</v>
      </c>
      <c r="H23" s="153">
        <v>0.058</v>
      </c>
      <c r="I23" s="153">
        <v>0.069</v>
      </c>
      <c r="J23" s="153">
        <v>0.058</v>
      </c>
      <c r="K23" s="153">
        <v>0.058</v>
      </c>
      <c r="L23" s="153">
        <v>0.069</v>
      </c>
      <c r="M23" s="153">
        <v>17.25</v>
      </c>
      <c r="N23" s="153">
        <v>17.25</v>
      </c>
      <c r="O23" s="153">
        <v>17.25</v>
      </c>
      <c r="P23" s="153">
        <v>0</v>
      </c>
      <c r="Q23" s="153">
        <v>0</v>
      </c>
      <c r="R23" s="153">
        <v>0</v>
      </c>
      <c r="S23" s="153">
        <v>0</v>
      </c>
      <c r="T23" s="153">
        <v>0</v>
      </c>
      <c r="U23" s="153">
        <v>0</v>
      </c>
      <c r="V23" s="153">
        <v>0</v>
      </c>
      <c r="W23" s="153">
        <v>0</v>
      </c>
      <c r="X23" s="153">
        <v>0</v>
      </c>
      <c r="Y23" s="153">
        <v>0</v>
      </c>
      <c r="Z23" s="153">
        <v>0</v>
      </c>
      <c r="AA23" s="153">
        <v>0</v>
      </c>
      <c r="AB23" s="153">
        <v>0</v>
      </c>
      <c r="AE23" s="167">
        <f t="shared" si="4"/>
        <v>80691.96</v>
      </c>
      <c r="AF23" s="166">
        <f>D23*'1 Enterprises'!D$6</f>
        <v>2900</v>
      </c>
      <c r="AG23" s="166">
        <f>E23*'1 Enterprises'!E$6</f>
        <v>1218</v>
      </c>
      <c r="AH23" s="166">
        <f>F23*'1 Enterprises'!F$6</f>
        <v>966.0000000000001</v>
      </c>
      <c r="AI23" s="166">
        <f>G23*'1 Enterprises'!G$6</f>
        <v>4013.6000000000004</v>
      </c>
      <c r="AJ23" s="166">
        <f>H23*'1 Enterprises'!H$6</f>
        <v>1647.2</v>
      </c>
      <c r="AK23" s="166">
        <f>I23*'1 Enterprises'!I$6</f>
        <v>1193.7</v>
      </c>
      <c r="AL23" s="166">
        <f>J23*'1 Enterprises'!J$6</f>
        <v>1902.4</v>
      </c>
      <c r="AM23" s="166">
        <f>K23*'1 Enterprises'!K$6</f>
        <v>914.6600000000001</v>
      </c>
      <c r="AN23" s="166">
        <f>L23*'1 Enterprises'!L$6</f>
        <v>2111.4</v>
      </c>
      <c r="AO23" s="166">
        <f>M23*'1 Enterprises'!M$6</f>
        <v>17250</v>
      </c>
      <c r="AP23" s="166">
        <f>N23*'1 Enterprises'!N$6</f>
        <v>20700</v>
      </c>
      <c r="AQ23" s="166">
        <f>O23*'1 Enterprises'!O$6</f>
        <v>25875</v>
      </c>
      <c r="AR23" s="166">
        <f>P23*'1 Enterprises'!P$6</f>
        <v>0</v>
      </c>
      <c r="AS23" s="166">
        <f>Q23*'1 Enterprises'!Q$6</f>
        <v>0</v>
      </c>
      <c r="AT23" s="166">
        <f>R23*'1 Enterprises'!R$6</f>
        <v>0</v>
      </c>
      <c r="AU23" s="166">
        <f>S23*'1 Enterprises'!S$6</f>
        <v>0</v>
      </c>
      <c r="AV23" s="166">
        <f>T23*'1 Enterprises'!T$6</f>
        <v>0</v>
      </c>
      <c r="AW23" s="166">
        <f>U23*'1 Enterprises'!U$6</f>
        <v>0</v>
      </c>
      <c r="AX23" s="166">
        <f>V23*'1 Enterprises'!V$6</f>
        <v>0</v>
      </c>
      <c r="AY23" s="166">
        <f>W23*'1 Enterprises'!W$6</f>
        <v>0</v>
      </c>
      <c r="AZ23" s="166">
        <f>X23*'1 Enterprises'!X$6</f>
        <v>0</v>
      </c>
      <c r="BA23" s="166">
        <f>Y23*'1 Enterprises'!Y$6</f>
        <v>0</v>
      </c>
      <c r="BB23" s="166">
        <f>Z23*'1 Enterprises'!Z$6</f>
        <v>0</v>
      </c>
      <c r="BC23" s="166">
        <f>AA23*'1 Enterprises'!AA$6</f>
        <v>0</v>
      </c>
      <c r="BD23" s="166">
        <f>AB23*'1 Enterprises'!AB$6</f>
        <v>0</v>
      </c>
    </row>
    <row r="24" spans="2:56" s="63" customFormat="1" ht="12.75">
      <c r="B24" s="67" t="str">
        <f>'2 Income Statement'!B46</f>
        <v> Over winter protection</v>
      </c>
      <c r="C24" s="208" t="s">
        <v>416</v>
      </c>
      <c r="D24" s="61">
        <f>'6 Overwintering'!L3</f>
        <v>0.006698462613556951</v>
      </c>
      <c r="E24" s="61">
        <f>'6 Overwintering'!L4</f>
        <v>0.07172148148148147</v>
      </c>
      <c r="F24" s="61">
        <f>'6 Overwintering'!L5</f>
        <v>0.21274804687499999</v>
      </c>
      <c r="G24" s="61">
        <f>'6 Overwintering'!L6</f>
        <v>0.006698462613556951</v>
      </c>
      <c r="H24" s="61">
        <f>'6 Overwintering'!L7</f>
        <v>0.07172148148148147</v>
      </c>
      <c r="I24" s="61">
        <f>'6 Overwintering'!L8</f>
        <v>0.21274804687499999</v>
      </c>
      <c r="J24" s="61">
        <f>'6 Overwintering'!L9</f>
        <v>0.006698462613556951</v>
      </c>
      <c r="K24" s="61">
        <f>'6 Overwintering'!L10</f>
        <v>0.07172148148148147</v>
      </c>
      <c r="L24" s="61">
        <f>'6 Overwintering'!L11</f>
        <v>0.21274804687499999</v>
      </c>
      <c r="M24" s="61">
        <f>'6 Overwintering'!L12</f>
        <v>0</v>
      </c>
      <c r="N24" s="61">
        <f>'6 Overwintering'!L13</f>
        <v>0</v>
      </c>
      <c r="O24" s="61">
        <f>'6 Overwintering'!L14</f>
        <v>0</v>
      </c>
      <c r="P24" s="61">
        <f>'6 Overwintering'!M14</f>
        <v>0</v>
      </c>
      <c r="Q24" s="61">
        <f>'6 Overwintering'!N14</f>
        <v>0</v>
      </c>
      <c r="R24" s="61">
        <f>'6 Overwintering'!O14</f>
        <v>0</v>
      </c>
      <c r="S24" s="61">
        <f>'6 Overwintering'!P14</f>
        <v>0</v>
      </c>
      <c r="T24" s="61">
        <f>'6 Overwintering'!Q14</f>
        <v>0</v>
      </c>
      <c r="U24" s="61">
        <f>'6 Overwintering'!R14</f>
        <v>0</v>
      </c>
      <c r="V24" s="61">
        <f>'6 Overwintering'!S14</f>
        <v>0</v>
      </c>
      <c r="W24" s="61">
        <f>'6 Overwintering'!T14</f>
        <v>0</v>
      </c>
      <c r="X24" s="61">
        <f>'6 Overwintering'!U14</f>
        <v>0</v>
      </c>
      <c r="Y24" s="61">
        <f>'6 Overwintering'!V14</f>
        <v>0</v>
      </c>
      <c r="Z24" s="61">
        <f>'6 Overwintering'!W14</f>
        <v>0</v>
      </c>
      <c r="AA24" s="61">
        <f>'6 Overwintering'!X14</f>
        <v>0</v>
      </c>
      <c r="AB24" s="61">
        <f>'6 Overwintering'!Y14</f>
        <v>0</v>
      </c>
      <c r="AE24" s="167">
        <f t="shared" si="4"/>
        <v>18861.3593669713</v>
      </c>
      <c r="AF24" s="166">
        <f>D24*'1 Enterprises'!D$6</f>
        <v>334.92313067784755</v>
      </c>
      <c r="AG24" s="166">
        <f>E24*'1 Enterprises'!E$6</f>
        <v>1506.1511111111108</v>
      </c>
      <c r="AH24" s="166">
        <f>F24*'1 Enterprises'!F$6</f>
        <v>2978.47265625</v>
      </c>
      <c r="AI24" s="166">
        <f>G24*'1 Enterprises'!G$6</f>
        <v>463.53361285814105</v>
      </c>
      <c r="AJ24" s="166">
        <f>H24*'1 Enterprises'!H$6</f>
        <v>2036.8900740740737</v>
      </c>
      <c r="AK24" s="166">
        <f>I24*'1 Enterprises'!I$6</f>
        <v>3680.5412109374997</v>
      </c>
      <c r="AL24" s="166">
        <f>J24*'1 Enterprises'!J$6</f>
        <v>219.70957372466802</v>
      </c>
      <c r="AM24" s="166">
        <f>K24*'1 Enterprises'!K$6</f>
        <v>1131.0477629629627</v>
      </c>
      <c r="AN24" s="166">
        <f>L24*'1 Enterprises'!L$6</f>
        <v>6510.090234374999</v>
      </c>
      <c r="AO24" s="166">
        <f>M24*'1 Enterprises'!M$6</f>
        <v>0</v>
      </c>
      <c r="AP24" s="166">
        <f>N24*'1 Enterprises'!N$6</f>
        <v>0</v>
      </c>
      <c r="AQ24" s="166">
        <f>O24*'1 Enterprises'!O$6</f>
        <v>0</v>
      </c>
      <c r="AR24" s="166">
        <f>P24*'1 Enterprises'!P$6</f>
        <v>0</v>
      </c>
      <c r="AS24" s="166">
        <f>Q24*'1 Enterprises'!Q$6</f>
        <v>0</v>
      </c>
      <c r="AT24" s="166">
        <f>R24*'1 Enterprises'!R$6</f>
        <v>0</v>
      </c>
      <c r="AU24" s="166">
        <f>S24*'1 Enterprises'!S$6</f>
        <v>0</v>
      </c>
      <c r="AV24" s="166">
        <f>T24*'1 Enterprises'!T$6</f>
        <v>0</v>
      </c>
      <c r="AW24" s="166">
        <f>U24*'1 Enterprises'!U$6</f>
        <v>0</v>
      </c>
      <c r="AX24" s="166">
        <f>V24*'1 Enterprises'!V$6</f>
        <v>0</v>
      </c>
      <c r="AY24" s="166">
        <f>W24*'1 Enterprises'!W$6</f>
        <v>0</v>
      </c>
      <c r="AZ24" s="166">
        <f>X24*'1 Enterprises'!X$6</f>
        <v>0</v>
      </c>
      <c r="BA24" s="166">
        <f>Y24*'1 Enterprises'!Y$6</f>
        <v>0</v>
      </c>
      <c r="BB24" s="166">
        <f>Z24*'1 Enterprises'!Z$6</f>
        <v>0</v>
      </c>
      <c r="BC24" s="166">
        <f>AA24*'1 Enterprises'!AA$6</f>
        <v>0</v>
      </c>
      <c r="BD24" s="166">
        <f>AB24*'1 Enterprises'!AB$6</f>
        <v>0</v>
      </c>
    </row>
    <row r="25" spans="2:56" s="63" customFormat="1" ht="15">
      <c r="B25" s="67" t="str">
        <f>'2 Income Statement'!B47</f>
        <v> Harvest Materials</v>
      </c>
      <c r="C25" s="208" t="s">
        <v>417</v>
      </c>
      <c r="D25" s="153"/>
      <c r="E25" s="153"/>
      <c r="F25" s="153"/>
      <c r="G25" s="153"/>
      <c r="H25" s="153"/>
      <c r="I25" s="153"/>
      <c r="J25" s="153"/>
      <c r="K25" s="153"/>
      <c r="L25" s="153"/>
      <c r="M25" s="153">
        <v>15</v>
      </c>
      <c r="N25" s="153">
        <v>15</v>
      </c>
      <c r="O25" s="153">
        <v>15</v>
      </c>
      <c r="P25" s="153">
        <v>0</v>
      </c>
      <c r="Q25" s="153">
        <v>0</v>
      </c>
      <c r="R25" s="153">
        <v>0</v>
      </c>
      <c r="S25" s="153">
        <v>0</v>
      </c>
      <c r="T25" s="153">
        <v>0</v>
      </c>
      <c r="U25" s="153">
        <v>0</v>
      </c>
      <c r="V25" s="153">
        <v>0</v>
      </c>
      <c r="W25" s="153">
        <v>0</v>
      </c>
      <c r="X25" s="153">
        <v>0</v>
      </c>
      <c r="Y25" s="153">
        <v>0</v>
      </c>
      <c r="Z25" s="153">
        <v>0</v>
      </c>
      <c r="AA25" s="153">
        <v>0</v>
      </c>
      <c r="AB25" s="153">
        <v>0</v>
      </c>
      <c r="AE25" s="167">
        <f t="shared" si="4"/>
        <v>55500</v>
      </c>
      <c r="AF25" s="166">
        <f>D25*'1 Enterprises'!D$6</f>
        <v>0</v>
      </c>
      <c r="AG25" s="166">
        <f>E25*'1 Enterprises'!E$6</f>
        <v>0</v>
      </c>
      <c r="AH25" s="166">
        <f>F25*'1 Enterprises'!F$6</f>
        <v>0</v>
      </c>
      <c r="AI25" s="166">
        <f>G25*'1 Enterprises'!G$6</f>
        <v>0</v>
      </c>
      <c r="AJ25" s="166">
        <f>H25*'1 Enterprises'!H$6</f>
        <v>0</v>
      </c>
      <c r="AK25" s="166">
        <f>I25*'1 Enterprises'!I$6</f>
        <v>0</v>
      </c>
      <c r="AL25" s="166">
        <f>J25*'1 Enterprises'!J$6</f>
        <v>0</v>
      </c>
      <c r="AM25" s="166">
        <f>K25*'1 Enterprises'!K$6</f>
        <v>0</v>
      </c>
      <c r="AN25" s="166">
        <f>L25*'1 Enterprises'!L$6</f>
        <v>0</v>
      </c>
      <c r="AO25" s="166">
        <f>M25*'1 Enterprises'!M$6</f>
        <v>15000</v>
      </c>
      <c r="AP25" s="166">
        <f>N25*'1 Enterprises'!N$6</f>
        <v>18000</v>
      </c>
      <c r="AQ25" s="166">
        <f>O25*'1 Enterprises'!O$6</f>
        <v>22500</v>
      </c>
      <c r="AR25" s="166">
        <f>P25*'1 Enterprises'!P$6</f>
        <v>0</v>
      </c>
      <c r="AS25" s="166">
        <f>Q25*'1 Enterprises'!Q$6</f>
        <v>0</v>
      </c>
      <c r="AT25" s="166">
        <f>R25*'1 Enterprises'!R$6</f>
        <v>0</v>
      </c>
      <c r="AU25" s="166">
        <f>S25*'1 Enterprises'!S$6</f>
        <v>0</v>
      </c>
      <c r="AV25" s="166">
        <f>T25*'1 Enterprises'!T$6</f>
        <v>0</v>
      </c>
      <c r="AW25" s="166">
        <f>U25*'1 Enterprises'!U$6</f>
        <v>0</v>
      </c>
      <c r="AX25" s="166">
        <f>V25*'1 Enterprises'!V$6</f>
        <v>0</v>
      </c>
      <c r="AY25" s="166">
        <f>W25*'1 Enterprises'!W$6</f>
        <v>0</v>
      </c>
      <c r="AZ25" s="166">
        <f>X25*'1 Enterprises'!X$6</f>
        <v>0</v>
      </c>
      <c r="BA25" s="166">
        <f>Y25*'1 Enterprises'!Y$6</f>
        <v>0</v>
      </c>
      <c r="BB25" s="166">
        <f>Z25*'1 Enterprises'!Z$6</f>
        <v>0</v>
      </c>
      <c r="BC25" s="166">
        <f>AA25*'1 Enterprises'!AA$6</f>
        <v>0</v>
      </c>
      <c r="BD25" s="166">
        <f>AB25*'1 Enterprises'!AB$6</f>
        <v>0</v>
      </c>
    </row>
    <row r="26" spans="2:56" s="63" customFormat="1" ht="15">
      <c r="B26" s="67" t="str">
        <f>'2 Income Statement'!B48</f>
        <v> Other DC 1</v>
      </c>
      <c r="C26" s="208" t="s">
        <v>416</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E26" s="167">
        <f t="shared" si="4"/>
        <v>0</v>
      </c>
      <c r="AF26" s="166">
        <f>D26*'1 Enterprises'!D$6</f>
        <v>0</v>
      </c>
      <c r="AG26" s="166">
        <f>E26*'1 Enterprises'!E$6</f>
        <v>0</v>
      </c>
      <c r="AH26" s="166">
        <f>F26*'1 Enterprises'!F$6</f>
        <v>0</v>
      </c>
      <c r="AI26" s="166">
        <f>G26*'1 Enterprises'!G$6</f>
        <v>0</v>
      </c>
      <c r="AJ26" s="166">
        <f>H26*'1 Enterprises'!H$6</f>
        <v>0</v>
      </c>
      <c r="AK26" s="166">
        <f>I26*'1 Enterprises'!I$6</f>
        <v>0</v>
      </c>
      <c r="AL26" s="166">
        <f>J26*'1 Enterprises'!J$6</f>
        <v>0</v>
      </c>
      <c r="AM26" s="166">
        <f>K26*'1 Enterprises'!K$6</f>
        <v>0</v>
      </c>
      <c r="AN26" s="166">
        <f>L26*'1 Enterprises'!L$6</f>
        <v>0</v>
      </c>
      <c r="AO26" s="166">
        <f>M26*'1 Enterprises'!M$6</f>
        <v>0</v>
      </c>
      <c r="AP26" s="166">
        <f>N26*'1 Enterprises'!N$6</f>
        <v>0</v>
      </c>
      <c r="AQ26" s="166">
        <f>O26*'1 Enterprises'!O$6</f>
        <v>0</v>
      </c>
      <c r="AR26" s="166">
        <f>P26*'1 Enterprises'!P$6</f>
        <v>0</v>
      </c>
      <c r="AS26" s="166">
        <f>Q26*'1 Enterprises'!Q$6</f>
        <v>0</v>
      </c>
      <c r="AT26" s="166">
        <f>R26*'1 Enterprises'!R$6</f>
        <v>0</v>
      </c>
      <c r="AU26" s="166">
        <f>S26*'1 Enterprises'!S$6</f>
        <v>0</v>
      </c>
      <c r="AV26" s="166">
        <f>T26*'1 Enterprises'!T$6</f>
        <v>0</v>
      </c>
      <c r="AW26" s="166">
        <f>U26*'1 Enterprises'!U$6</f>
        <v>0</v>
      </c>
      <c r="AX26" s="166">
        <f>V26*'1 Enterprises'!V$6</f>
        <v>0</v>
      </c>
      <c r="AY26" s="166">
        <f>W26*'1 Enterprises'!W$6</f>
        <v>0</v>
      </c>
      <c r="AZ26" s="166">
        <f>X26*'1 Enterprises'!X$6</f>
        <v>0</v>
      </c>
      <c r="BA26" s="166">
        <f>Y26*'1 Enterprises'!Y$6</f>
        <v>0</v>
      </c>
      <c r="BB26" s="166">
        <f>Z26*'1 Enterprises'!Z$6</f>
        <v>0</v>
      </c>
      <c r="BC26" s="166">
        <f>AA26*'1 Enterprises'!AA$6</f>
        <v>0</v>
      </c>
      <c r="BD26" s="166">
        <f>AB26*'1 Enterprises'!AB$6</f>
        <v>0</v>
      </c>
    </row>
    <row r="27" spans="2:56" s="63" customFormat="1" ht="15">
      <c r="B27" s="67" t="str">
        <f>'2 Income Statement'!B49</f>
        <v> Other DC 2</v>
      </c>
      <c r="C27" s="208" t="s">
        <v>416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E27" s="167">
        <f t="shared" si="4"/>
        <v>0</v>
      </c>
      <c r="AF27" s="166">
        <f>D27*'1 Enterprises'!D$6</f>
        <v>0</v>
      </c>
      <c r="AG27" s="166">
        <f>E27*'1 Enterprises'!E$6</f>
        <v>0</v>
      </c>
      <c r="AH27" s="166">
        <f>F27*'1 Enterprises'!F$6</f>
        <v>0</v>
      </c>
      <c r="AI27" s="166">
        <f>G27*'1 Enterprises'!G$6</f>
        <v>0</v>
      </c>
      <c r="AJ27" s="166">
        <f>H27*'1 Enterprises'!H$6</f>
        <v>0</v>
      </c>
      <c r="AK27" s="166">
        <f>I27*'1 Enterprises'!I$6</f>
        <v>0</v>
      </c>
      <c r="AL27" s="166">
        <f>J27*'1 Enterprises'!J$6</f>
        <v>0</v>
      </c>
      <c r="AM27" s="166">
        <f>K27*'1 Enterprises'!K$6</f>
        <v>0</v>
      </c>
      <c r="AN27" s="166">
        <f>L27*'1 Enterprises'!L$6</f>
        <v>0</v>
      </c>
      <c r="AO27" s="166">
        <f>M27*'1 Enterprises'!M$6</f>
        <v>0</v>
      </c>
      <c r="AP27" s="166">
        <f>N27*'1 Enterprises'!N$6</f>
        <v>0</v>
      </c>
      <c r="AQ27" s="166">
        <f>O27*'1 Enterprises'!O$6</f>
        <v>0</v>
      </c>
      <c r="AR27" s="166">
        <f>P27*'1 Enterprises'!P$6</f>
        <v>0</v>
      </c>
      <c r="AS27" s="166">
        <f>Q27*'1 Enterprises'!Q$6</f>
        <v>0</v>
      </c>
      <c r="AT27" s="166">
        <f>R27*'1 Enterprises'!R$6</f>
        <v>0</v>
      </c>
      <c r="AU27" s="166">
        <f>S27*'1 Enterprises'!S$6</f>
        <v>0</v>
      </c>
      <c r="AV27" s="166">
        <f>T27*'1 Enterprises'!T$6</f>
        <v>0</v>
      </c>
      <c r="AW27" s="166">
        <f>U27*'1 Enterprises'!U$6</f>
        <v>0</v>
      </c>
      <c r="AX27" s="166">
        <f>V27*'1 Enterprises'!V$6</f>
        <v>0</v>
      </c>
      <c r="AY27" s="166">
        <f>W27*'1 Enterprises'!W$6</f>
        <v>0</v>
      </c>
      <c r="AZ27" s="166">
        <f>X27*'1 Enterprises'!X$6</f>
        <v>0</v>
      </c>
      <c r="BA27" s="166">
        <f>Y27*'1 Enterprises'!Y$6</f>
        <v>0</v>
      </c>
      <c r="BB27" s="166">
        <f>Z27*'1 Enterprises'!Z$6</f>
        <v>0</v>
      </c>
      <c r="BC27" s="166">
        <f>AA27*'1 Enterprises'!AA$6</f>
        <v>0</v>
      </c>
      <c r="BD27" s="166">
        <f>AB27*'1 Enterprises'!AB$6</f>
        <v>0</v>
      </c>
    </row>
    <row r="28" spans="2:56" s="63" customFormat="1" ht="15">
      <c r="B28" s="67" t="str">
        <f>'2 Income Statement'!B50</f>
        <v> Other DC 3</v>
      </c>
      <c r="C28" s="208" t="s">
        <v>416</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E28" s="167">
        <f t="shared" si="4"/>
        <v>0</v>
      </c>
      <c r="AF28" s="166">
        <f>D28*'1 Enterprises'!D$6</f>
        <v>0</v>
      </c>
      <c r="AG28" s="166">
        <f>E28*'1 Enterprises'!E$6</f>
        <v>0</v>
      </c>
      <c r="AH28" s="166">
        <f>F28*'1 Enterprises'!F$6</f>
        <v>0</v>
      </c>
      <c r="AI28" s="166">
        <f>G28*'1 Enterprises'!G$6</f>
        <v>0</v>
      </c>
      <c r="AJ28" s="166">
        <f>H28*'1 Enterprises'!H$6</f>
        <v>0</v>
      </c>
      <c r="AK28" s="166">
        <f>I28*'1 Enterprises'!I$6</f>
        <v>0</v>
      </c>
      <c r="AL28" s="166">
        <f>J28*'1 Enterprises'!J$6</f>
        <v>0</v>
      </c>
      <c r="AM28" s="166">
        <f>K28*'1 Enterprises'!K$6</f>
        <v>0</v>
      </c>
      <c r="AN28" s="166">
        <f>L28*'1 Enterprises'!L$6</f>
        <v>0</v>
      </c>
      <c r="AO28" s="166">
        <f>M28*'1 Enterprises'!M$6</f>
        <v>0</v>
      </c>
      <c r="AP28" s="166">
        <f>N28*'1 Enterprises'!N$6</f>
        <v>0</v>
      </c>
      <c r="AQ28" s="166">
        <f>O28*'1 Enterprises'!O$6</f>
        <v>0</v>
      </c>
      <c r="AR28" s="166">
        <f>P28*'1 Enterprises'!P$6</f>
        <v>0</v>
      </c>
      <c r="AS28" s="166">
        <f>Q28*'1 Enterprises'!Q$6</f>
        <v>0</v>
      </c>
      <c r="AT28" s="166">
        <f>R28*'1 Enterprises'!R$6</f>
        <v>0</v>
      </c>
      <c r="AU28" s="166">
        <f>S28*'1 Enterprises'!S$6</f>
        <v>0</v>
      </c>
      <c r="AV28" s="166">
        <f>T28*'1 Enterprises'!T$6</f>
        <v>0</v>
      </c>
      <c r="AW28" s="166">
        <f>U28*'1 Enterprises'!U$6</f>
        <v>0</v>
      </c>
      <c r="AX28" s="166">
        <f>V28*'1 Enterprises'!V$6</f>
        <v>0</v>
      </c>
      <c r="AY28" s="166">
        <f>W28*'1 Enterprises'!W$6</f>
        <v>0</v>
      </c>
      <c r="AZ28" s="166">
        <f>X28*'1 Enterprises'!X$6</f>
        <v>0</v>
      </c>
      <c r="BA28" s="166">
        <f>Y28*'1 Enterprises'!Y$6</f>
        <v>0</v>
      </c>
      <c r="BB28" s="166">
        <f>Z28*'1 Enterprises'!Z$6</f>
        <v>0</v>
      </c>
      <c r="BC28" s="166">
        <f>AA28*'1 Enterprises'!AA$6</f>
        <v>0</v>
      </c>
      <c r="BD28" s="166">
        <f>AB28*'1 Enterprises'!AB$6</f>
        <v>0</v>
      </c>
    </row>
    <row r="29" spans="2:56" s="63" customFormat="1" ht="15">
      <c r="B29" s="67" t="s">
        <v>412</v>
      </c>
      <c r="C29" s="207">
        <v>0.065</v>
      </c>
      <c r="D29" s="62">
        <f>((D14+D15+D16+D17+D20)*$C29/52*'1 Enterprises'!D22)+((D18+D19+D22+D24+D26+D27+D28)/2)*'8 Cost of Production'!$C29/52*'1 Enterprises'!D22</f>
        <v>0.1340492005340926</v>
      </c>
      <c r="E29" s="62">
        <f>((E14+E15+E16+E17+E20)*$C29/52*'1 Enterprises'!E22)+((E18+E19+E22+E24+E26+E27+E28)/2)*'8 Cost of Production'!$C29/52*'1 Enterprises'!E22</f>
        <v>0.5708426196685925</v>
      </c>
      <c r="F29" s="62">
        <f>((F14+F15+F16+F17+F20)*$C29/52*'1 Enterprises'!F22)+((F18+F19+F22+F24+F26+F27+F28)/2)*'8 Cost of Production'!$C29/52*'1 Enterprises'!F22</f>
        <v>1.657037096222394</v>
      </c>
      <c r="G29" s="62">
        <f>((G14+G15+G16+G17+G20)*$C29/52*'1 Enterprises'!G22)+((G18+G19+G22+G24+G26+G27+G28)/2)*'8 Cost of Production'!$C29/52*'1 Enterprises'!G22</f>
        <v>0.1586554148198069</v>
      </c>
      <c r="H29" s="62">
        <f>((H14+H15+H16+H17+H20)*$C29/52*'1 Enterprises'!H22)+((H18+H19+H22+H24+H26+H27+H28)/2)*'8 Cost of Production'!$C29/52*'1 Enterprises'!H22</f>
        <v>0.5958403196685925</v>
      </c>
      <c r="I29" s="62">
        <f>((I14+I15+I16+I17+I20)*$C29/52*'1 Enterprises'!I22)+((I18+I19+I22+I24+I26+I27+I28)/2)*'8 Cost of Production'!$C29/52*'1 Enterprises'!I22</f>
        <v>1.7345193819366795</v>
      </c>
      <c r="J29" s="62">
        <f>((J14+J15+J16+J17+J20)*$C29/52*'1 Enterprises'!J22)+((J18+J19+J22+J24+J26+J27+J28)/2)*'8 Cost of Production'!$C29/52*'1 Enterprises'!J22</f>
        <v>0.19458836124837833</v>
      </c>
      <c r="K29" s="62">
        <f>((K14+K15+K16+K17+K20)*$C29/52*'1 Enterprises'!K22)+((K18+K19+K22+K24+K26+K27+K28)/2)*'8 Cost of Production'!$C29/52*'1 Enterprises'!K22</f>
        <v>0.6236408196685925</v>
      </c>
      <c r="L29" s="62">
        <f>((L14+L15+L16+L17+L20)*$C29/52*'1 Enterprises'!L22)+((L18+L19+L22+L24+L26+L27+L28)/2)*'8 Cost of Production'!$C29/52*'1 Enterprises'!L22</f>
        <v>1.8507428105081078</v>
      </c>
      <c r="M29" s="62">
        <f>((M14+M15+M16+M17+M20)*$C29/52*'1 Enterprises'!M22)+((M18+M19+M22+M24+M26+M27+M28)/2)*'8 Cost of Production'!$C29/52*'1 Enterprises'!M22</f>
        <v>2.7629263500703845</v>
      </c>
      <c r="N29" s="62">
        <f>((N14+N15+N16+N17+N20)*$C29/52*'1 Enterprises'!N22)+((N18+N19+N22+N24+N26+N27+N28)/2)*'8 Cost of Production'!$C29/52*'1 Enterprises'!N22</f>
        <v>2.8535513500703846</v>
      </c>
      <c r="O29" s="62">
        <f>((O14+O15+O16+O17+O20)*$C29/52*'1 Enterprises'!O22)+((O18+O19+O22+O24+O26+O27+O28)/2)*'8 Cost of Production'!$C29/52*'1 Enterprises'!O22</f>
        <v>2.9894888500703845</v>
      </c>
      <c r="P29" s="62">
        <f>((P14+P15+P16+P17+P20)*$C29/52*'1 Enterprises'!P22)+((P18+P19+P22+P24+P26+P27+P28)/2)*'8 Cost of Production'!$C29/52*'1 Enterprises'!P22</f>
        <v>0</v>
      </c>
      <c r="Q29" s="62">
        <f>((Q14+Q15+Q16+Q17+Q20)*$C29/52*'1 Enterprises'!Q22)+((Q18+Q19+Q22+Q24+Q26+Q27+Q28)/2)*'8 Cost of Production'!$C29/52*'1 Enterprises'!Q22</f>
        <v>0</v>
      </c>
      <c r="R29" s="62">
        <f>((R14+R15+R16+R17+R20)*$C29/52*'1 Enterprises'!R22)+((R18+R19+R22+R24+R26+R27+R28)/2)*'8 Cost of Production'!$C29/52*'1 Enterprises'!R22</f>
        <v>0</v>
      </c>
      <c r="S29" s="62">
        <f>((S14+S15+S16+S17+S20)*$C29/52*'1 Enterprises'!S22)+((S18+S19+S22+S24+S26+S27+S28)/2)*'8 Cost of Production'!$C29/52*'1 Enterprises'!S22</f>
        <v>0</v>
      </c>
      <c r="T29" s="62">
        <f>((T14+T15+T16+T17+T20)*$C29/52*'1 Enterprises'!T22)+((T18+T19+T22+T24+T26+T27+T28)/2)*'8 Cost of Production'!$C29/52*'1 Enterprises'!T22</f>
        <v>0</v>
      </c>
      <c r="U29" s="62">
        <f>((U14+U15+U16+U17+U20)*$C29/52*'1 Enterprises'!U22)+((U18+U19+U22+U24+U26+U27+U28)/2)*'8 Cost of Production'!$C29/52*'1 Enterprises'!U22</f>
        <v>0</v>
      </c>
      <c r="V29" s="62">
        <f>((V14+V15+V16+V17+V20)*$C29/52*'1 Enterprises'!V22)+((V18+V19+V22+V24+V26+V27+V28)/2)*'8 Cost of Production'!$C29/52*'1 Enterprises'!V22</f>
        <v>0</v>
      </c>
      <c r="W29" s="62">
        <f>((W14+W15+W16+W17+W20)*$C29/52*'1 Enterprises'!W22)+((W18+W19+W22+W24+W26+W27+W28)/2)*'8 Cost of Production'!$C29/52*'1 Enterprises'!W22</f>
        <v>0</v>
      </c>
      <c r="X29" s="62">
        <f>((X14+X15+X16+X17+X20)*$C29/52*'1 Enterprises'!X22)+((X18+X19+X22+X24+X26+X27+X28)/2)*'8 Cost of Production'!$C29/52*'1 Enterprises'!X22</f>
        <v>0</v>
      </c>
      <c r="Y29" s="62">
        <f>((Y14+Y15+Y16+Y17+Y20)*$C29/52*'1 Enterprises'!Y22)+((Y18+Y19+Y22+Y24+Y26+Y27+Y28)/2)*'8 Cost of Production'!$C29/52*'1 Enterprises'!Y22</f>
        <v>0</v>
      </c>
      <c r="Z29" s="62">
        <f>((Z14+Z15+Z16+Z17+Z20)*$C29/52*'1 Enterprises'!Z22)+((Z18+Z19+Z22+Z24+Z26+Z27+Z28)/2)*'8 Cost of Production'!$C29/52*'1 Enterprises'!Z22</f>
        <v>0</v>
      </c>
      <c r="AA29" s="62">
        <f>((AA14+AA15+AA16+AA17+AA20)*$C29/52*'1 Enterprises'!AA22)+((AA18+AA19+AA22+AA24+AA26+AA27+AA28)/2)*'8 Cost of Production'!$C29/52*'1 Enterprises'!AA22</f>
        <v>0</v>
      </c>
      <c r="AB29" s="62">
        <f>((AB14+AB15+AB16+AB17+AB20)*$C29/52*'1 Enterprises'!AB22)+((AB18+AB19+AB22+AB24+AB26+AB27+AB28)/2)*'8 Cost of Production'!$C29/52*'1 Enterprises'!AB22</f>
        <v>0</v>
      </c>
      <c r="AE29" s="167">
        <f>SUM(AF29:BD29)</f>
        <v>183318.14470041086</v>
      </c>
      <c r="AF29" s="166">
        <f>D29*'1 Enterprises'!D$6</f>
        <v>6702.460026704631</v>
      </c>
      <c r="AG29" s="166">
        <f>E29*'1 Enterprises'!E$6</f>
        <v>11987.695013040442</v>
      </c>
      <c r="AH29" s="166">
        <f>F29*'1 Enterprises'!F$6</f>
        <v>23198.519347113514</v>
      </c>
      <c r="AI29" s="166">
        <f>G29*'1 Enterprises'!G$6</f>
        <v>10978.954705530638</v>
      </c>
      <c r="AJ29" s="166">
        <f>H29*'1 Enterprises'!H$6</f>
        <v>16921.865078588027</v>
      </c>
      <c r="AK29" s="166">
        <f>I29*'1 Enterprises'!I$6</f>
        <v>30007.185307504555</v>
      </c>
      <c r="AL29" s="166">
        <f>J29*'1 Enterprises'!J$6</f>
        <v>6382.498248946809</v>
      </c>
      <c r="AM29" s="166">
        <f>K29*'1 Enterprises'!K$6</f>
        <v>9834.815726173703</v>
      </c>
      <c r="AN29" s="166">
        <f>L29*'1 Enterprises'!L$6</f>
        <v>56632.7300015481</v>
      </c>
      <c r="AO29" s="166">
        <f>M29*'1 Enterprises'!M$6</f>
        <v>2762.9263500703846</v>
      </c>
      <c r="AP29" s="166">
        <f>N29*'1 Enterprises'!N$6</f>
        <v>3424.2616200844614</v>
      </c>
      <c r="AQ29" s="166">
        <f>O29*'1 Enterprises'!O$6</f>
        <v>4484.2332751055765</v>
      </c>
      <c r="AR29" s="166">
        <f>P29*'1 Enterprises'!P$6</f>
        <v>0</v>
      </c>
      <c r="AS29" s="166">
        <f>Q29*'1 Enterprises'!Q$6</f>
        <v>0</v>
      </c>
      <c r="AT29" s="166">
        <f>R29*'1 Enterprises'!R$6</f>
        <v>0</v>
      </c>
      <c r="AU29" s="166">
        <f>S29*'1 Enterprises'!S$6</f>
        <v>0</v>
      </c>
      <c r="AV29" s="166">
        <f>T29*'1 Enterprises'!T$6</f>
        <v>0</v>
      </c>
      <c r="AW29" s="166">
        <f>U29*'1 Enterprises'!U$6</f>
        <v>0</v>
      </c>
      <c r="AX29" s="166">
        <f>V29*'1 Enterprises'!V$6</f>
        <v>0</v>
      </c>
      <c r="AY29" s="166">
        <f>W29*'1 Enterprises'!W$6</f>
        <v>0</v>
      </c>
      <c r="AZ29" s="166">
        <f>X29*'1 Enterprises'!X$6</f>
        <v>0</v>
      </c>
      <c r="BA29" s="166">
        <f>Y29*'1 Enterprises'!Y$6</f>
        <v>0</v>
      </c>
      <c r="BB29" s="166">
        <f>Z29*'1 Enterprises'!Z$6</f>
        <v>0</v>
      </c>
      <c r="BC29" s="166">
        <f>AA29*'1 Enterprises'!AA$6</f>
        <v>0</v>
      </c>
      <c r="BD29" s="166">
        <f>AB29*'1 Enterprises'!AB$6</f>
        <v>0</v>
      </c>
    </row>
    <row r="30" spans="2:28" ht="12.75">
      <c r="B30" s="64" t="s">
        <v>170</v>
      </c>
      <c r="C30" s="1"/>
      <c r="D30" s="85">
        <f>SUM(D14:D29)-D21</f>
        <v>2.4151597374706326</v>
      </c>
      <c r="E30" s="85">
        <f aca="true" t="shared" si="5" ref="E30:AB30">SUM(E14:E29)-E21</f>
        <v>6.065795932522966</v>
      </c>
      <c r="F30" s="85">
        <f t="shared" si="5"/>
        <v>15.41194584476946</v>
      </c>
      <c r="G30" s="85">
        <f t="shared" si="5"/>
        <v>2.8172859517563467</v>
      </c>
      <c r="H30" s="85">
        <f t="shared" si="5"/>
        <v>6.310553632522965</v>
      </c>
      <c r="I30" s="85">
        <f t="shared" si="5"/>
        <v>16.084628130483743</v>
      </c>
      <c r="J30" s="85">
        <f t="shared" si="5"/>
        <v>3.4045188981849184</v>
      </c>
      <c r="K30" s="85">
        <f t="shared" si="5"/>
        <v>6.5827541325229655</v>
      </c>
      <c r="L30" s="85">
        <f t="shared" si="5"/>
        <v>17.09365155905517</v>
      </c>
      <c r="M30" s="85">
        <f t="shared" si="5"/>
        <v>51.95938952326083</v>
      </c>
      <c r="N30" s="85">
        <f t="shared" si="5"/>
        <v>52.55001452326083</v>
      </c>
      <c r="O30" s="85">
        <f t="shared" si="5"/>
        <v>53.43595202326083</v>
      </c>
      <c r="P30" s="85">
        <f t="shared" si="5"/>
        <v>0</v>
      </c>
      <c r="Q30" s="85">
        <f t="shared" si="5"/>
        <v>0</v>
      </c>
      <c r="R30" s="85">
        <f t="shared" si="5"/>
        <v>0</v>
      </c>
      <c r="S30" s="85">
        <f t="shared" si="5"/>
        <v>0</v>
      </c>
      <c r="T30" s="85">
        <f t="shared" si="5"/>
        <v>0</v>
      </c>
      <c r="U30" s="85">
        <f t="shared" si="5"/>
        <v>0</v>
      </c>
      <c r="V30" s="85">
        <f t="shared" si="5"/>
        <v>0</v>
      </c>
      <c r="W30" s="85">
        <f t="shared" si="5"/>
        <v>0</v>
      </c>
      <c r="X30" s="85">
        <f t="shared" si="5"/>
        <v>0</v>
      </c>
      <c r="Y30" s="85">
        <f t="shared" si="5"/>
        <v>0</v>
      </c>
      <c r="Z30" s="85">
        <f t="shared" si="5"/>
        <v>0</v>
      </c>
      <c r="AA30" s="85">
        <f t="shared" si="5"/>
        <v>0</v>
      </c>
      <c r="AB30" s="85">
        <f t="shared" si="5"/>
        <v>0</v>
      </c>
    </row>
    <row r="31" spans="2:28" ht="12.75">
      <c r="B31" s="64" t="s">
        <v>361</v>
      </c>
      <c r="C31" s="1"/>
      <c r="D31" s="85">
        <f>IF('1 Enterprises'!D15&gt;0,((D30/'1 Enterprises'!D15)),'1 Enterprises'!D6*D30*(-1))</f>
        <v>2.683510819411814</v>
      </c>
      <c r="E31" s="85">
        <f>IF('1 Enterprises'!E15&gt;0,((E30/'1 Enterprises'!E15)),'1 Enterprises'!E6*E30*(-1))</f>
        <v>7.136230508850549</v>
      </c>
      <c r="F31" s="85">
        <f>IF('1 Enterprises'!F15&gt;0,((F30/'1 Enterprises'!F15)),'1 Enterprises'!F6*F30*(-1))</f>
        <v>19.264932305961825</v>
      </c>
      <c r="G31" s="85">
        <f>IF('1 Enterprises'!G15&gt;0,((G30/'1 Enterprises'!G15)),'1 Enterprises'!G6*G30*(-1))</f>
        <v>3.1303177241737186</v>
      </c>
      <c r="H31" s="85">
        <f>IF('1 Enterprises'!H15&gt;0,((H30/'1 Enterprises'!H15)),'1 Enterprises'!H6*H30*(-1))</f>
        <v>7.424180744144665</v>
      </c>
      <c r="I31" s="85">
        <f>IF('1 Enterprises'!I15&gt;0,((I30/'1 Enterprises'!I15)),'1 Enterprises'!I6*I30*(-1))</f>
        <v>20.105785163104677</v>
      </c>
      <c r="J31" s="85">
        <f>IF('1 Enterprises'!J15&gt;0,((J30/'1 Enterprises'!J15)),'1 Enterprises'!J6*J30*(-1))</f>
        <v>3.7827987757610204</v>
      </c>
      <c r="K31" s="85">
        <f>IF('1 Enterprises'!K15&gt;0,((K30/'1 Enterprises'!K15)),'1 Enterprises'!K6*K30*(-1))</f>
        <v>7.744416626497607</v>
      </c>
      <c r="L31" s="85">
        <f>IF('1 Enterprises'!L15&gt;0,((L30/'1 Enterprises'!L15)),'1 Enterprises'!L6*L30*(-1))</f>
        <v>21.36706444881896</v>
      </c>
      <c r="M31" s="85">
        <f>IF('1 Enterprises'!M15&gt;0,((M30/'1 Enterprises'!M15)),'1 Enterprises'!M6*M30*(-1))</f>
        <v>61.12869355677745</v>
      </c>
      <c r="N31" s="85">
        <f>IF('1 Enterprises'!N15&gt;0,((N30/'1 Enterprises'!N15)),'1 Enterprises'!N6*N30*(-1))</f>
        <v>61.82354649795391</v>
      </c>
      <c r="O31" s="85">
        <f>IF('1 Enterprises'!O15&gt;0,((O30/'1 Enterprises'!O15)),'1 Enterprises'!O6*O30*(-1))</f>
        <v>62.86582590971863</v>
      </c>
      <c r="P31" s="85">
        <f>IF('1 Enterprises'!P15&gt;0,((P30/'1 Enterprises'!P15)),'1 Enterprises'!P6*P30*(-1))</f>
        <v>0</v>
      </c>
      <c r="Q31" s="85">
        <f>IF('1 Enterprises'!Q15&gt;0,((Q30/'1 Enterprises'!Q15)),'1 Enterprises'!Q6*Q30*(-1))</f>
        <v>0</v>
      </c>
      <c r="R31" s="85">
        <f>IF('1 Enterprises'!R15&gt;0,((R30/'1 Enterprises'!R15)),'1 Enterprises'!R6*R30*(-1))</f>
        <v>0</v>
      </c>
      <c r="S31" s="85">
        <f>IF('1 Enterprises'!S15&gt;0,((S30/'1 Enterprises'!S15)),'1 Enterprises'!S6*S30*(-1))</f>
        <v>0</v>
      </c>
      <c r="T31" s="85">
        <f>IF('1 Enterprises'!T15&gt;0,((T30/'1 Enterprises'!T15)),'1 Enterprises'!T6*T30*(-1))</f>
        <v>0</v>
      </c>
      <c r="U31" s="85">
        <f>IF('1 Enterprises'!U15&gt;0,((U30/'1 Enterprises'!U15)),'1 Enterprises'!U6*U30*(-1))</f>
        <v>0</v>
      </c>
      <c r="V31" s="85">
        <f>IF('1 Enterprises'!V15&gt;0,((V30/'1 Enterprises'!V15)),'1 Enterprises'!V6*V30*(-1))</f>
        <v>0</v>
      </c>
      <c r="W31" s="85">
        <f>IF('1 Enterprises'!W15&gt;0,((W30/'1 Enterprises'!W15)),'1 Enterprises'!W6*W30*(-1))</f>
        <v>0</v>
      </c>
      <c r="X31" s="85">
        <f>IF('1 Enterprises'!X15&gt;0,((X30/'1 Enterprises'!X15)),'1 Enterprises'!X6*X30*(-1))</f>
        <v>0</v>
      </c>
      <c r="Y31" s="85">
        <f>IF('1 Enterprises'!Y15&gt;0,((Y30/'1 Enterprises'!Y15)),'1 Enterprises'!Y6*Y30*(-1))</f>
        <v>0</v>
      </c>
      <c r="Z31" s="85">
        <f>IF('1 Enterprises'!Z15&gt;0,((Z30/'1 Enterprises'!Z15)),'1 Enterprises'!Z6*Z30*(-1))</f>
        <v>0</v>
      </c>
      <c r="AA31" s="85">
        <f>IF('1 Enterprises'!AA15&gt;0,((AA30/'1 Enterprises'!AA15)),'1 Enterprises'!AA6*AA30*(-1))</f>
        <v>0</v>
      </c>
      <c r="AB31" s="85">
        <f>IF('1 Enterprises'!AB15&gt;0,((AB30/'1 Enterprises'!AB15)),'1 Enterprises'!AB6*AB30*(-1))</f>
        <v>0</v>
      </c>
    </row>
    <row r="32" spans="2:28" ht="12.75">
      <c r="B32" s="64" t="s">
        <v>171</v>
      </c>
      <c r="C32" s="1"/>
      <c r="D32" s="85">
        <f>'1 Enterprises'!D17-'8 Cost of Production'!D31</f>
        <v>0.4664891805881859</v>
      </c>
      <c r="E32" s="85">
        <f>'1 Enterprises'!E17-'8 Cost of Production'!E31</f>
        <v>1.6137694911494513</v>
      </c>
      <c r="F32" s="85">
        <f>'1 Enterprises'!F17-'8 Cost of Production'!F31</f>
        <v>2.7350676940381753</v>
      </c>
      <c r="G32" s="85">
        <f>'1 Enterprises'!G17-'8 Cost of Production'!G31</f>
        <v>0.9196822758262813</v>
      </c>
      <c r="H32" s="85">
        <f>'1 Enterprises'!H17-'8 Cost of Production'!H31</f>
        <v>1.9258192558553349</v>
      </c>
      <c r="I32" s="85">
        <f>'1 Enterprises'!I17-'8 Cost of Production'!I31</f>
        <v>2.8942148368953227</v>
      </c>
      <c r="J32" s="85">
        <f>'1 Enterprises'!J17-'8 Cost of Production'!J31</f>
        <v>0.7172012242389796</v>
      </c>
      <c r="K32" s="85">
        <f>'1 Enterprises'!K17-'8 Cost of Production'!K31</f>
        <v>2.005583373502393</v>
      </c>
      <c r="L32" s="85">
        <f>'1 Enterprises'!L17-'8 Cost of Production'!L31</f>
        <v>3.6329355511810384</v>
      </c>
      <c r="M32" s="85">
        <f>'1 Enterprises'!M17-'8 Cost of Production'!M31</f>
        <v>23.87130644322255</v>
      </c>
      <c r="N32" s="85">
        <f>'1 Enterprises'!N17-'8 Cost of Production'!N31</f>
        <v>33.17645350204609</v>
      </c>
      <c r="O32" s="85">
        <f>'1 Enterprises'!O17-'8 Cost of Production'!O31</f>
        <v>37.13417409028137</v>
      </c>
      <c r="P32" s="85">
        <f>'1 Enterprises'!P17-'8 Cost of Production'!P31</f>
        <v>3.15</v>
      </c>
      <c r="Q32" s="85">
        <f>'1 Enterprises'!Q17-'8 Cost of Production'!Q31</f>
        <v>8.75</v>
      </c>
      <c r="R32" s="85">
        <f>'1 Enterprises'!R17-'8 Cost of Production'!R31</f>
        <v>22</v>
      </c>
      <c r="S32" s="85">
        <f>'1 Enterprises'!S17-'8 Cost of Production'!S31</f>
        <v>4.05</v>
      </c>
      <c r="T32" s="85">
        <f>'1 Enterprises'!T17-'8 Cost of Production'!T31</f>
        <v>9.35</v>
      </c>
      <c r="U32" s="85">
        <f>'1 Enterprises'!U17-'8 Cost of Production'!U31</f>
        <v>23</v>
      </c>
      <c r="V32" s="85">
        <f>'1 Enterprises'!V17-'8 Cost of Production'!V31</f>
        <v>4.5</v>
      </c>
      <c r="W32" s="85">
        <f>'1 Enterprises'!W17-'8 Cost of Production'!W31</f>
        <v>9.75</v>
      </c>
      <c r="X32" s="85">
        <f>'1 Enterprises'!X17-'8 Cost of Production'!X31</f>
        <v>25</v>
      </c>
      <c r="Y32" s="85">
        <f>'1 Enterprises'!Y17-'8 Cost of Production'!Y31</f>
        <v>85</v>
      </c>
      <c r="Z32" s="85">
        <f>'1 Enterprises'!Z17-'8 Cost of Production'!Z31</f>
        <v>95</v>
      </c>
      <c r="AA32" s="85">
        <f>'1 Enterprises'!AA17-'8 Cost of Production'!AA31</f>
        <v>100</v>
      </c>
      <c r="AB32" s="85">
        <f>'1 Enterprises'!AB17-'8 Cost of Production'!AB31</f>
        <v>100</v>
      </c>
    </row>
    <row r="33" spans="2:28" ht="12.75">
      <c r="B33" s="64"/>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28" s="41" customFormat="1" ht="26.25" thickBot="1">
      <c r="B34" s="65"/>
      <c r="C34" s="38"/>
      <c r="D34" s="53" t="str">
        <f>'8 Cost of Production'!D80</f>
        <v>Container Crop 1</v>
      </c>
      <c r="E34" s="53" t="str">
        <f>'8 Cost of Production'!E80</f>
        <v>Container Crop 2</v>
      </c>
      <c r="F34" s="53" t="str">
        <f>'8 Cost of Production'!F80</f>
        <v>Container Crop 3</v>
      </c>
      <c r="G34" s="53" t="str">
        <f>'8 Cost of Production'!G80</f>
        <v>Container Crop 4</v>
      </c>
      <c r="H34" s="53" t="str">
        <f>'8 Cost of Production'!H80</f>
        <v>Container Crop 5</v>
      </c>
      <c r="I34" s="53" t="str">
        <f>'8 Cost of Production'!I80</f>
        <v>Container Crop 6</v>
      </c>
      <c r="J34" s="53" t="str">
        <f>'8 Cost of Production'!J80</f>
        <v>Container Crop 7</v>
      </c>
      <c r="K34" s="53" t="str">
        <f>'8 Cost of Production'!K80</f>
        <v>Container Crop 8</v>
      </c>
      <c r="L34" s="53" t="str">
        <f>'8 Cost of Production'!L80</f>
        <v>Container Crop 9</v>
      </c>
      <c r="M34" s="53" t="str">
        <f>'8 Cost of Production'!M80</f>
        <v>Field Crop 1</v>
      </c>
      <c r="N34" s="53" t="str">
        <f>'8 Cost of Production'!N80</f>
        <v>Field Crop 2</v>
      </c>
      <c r="O34" s="53" t="str">
        <f>'8 Cost of Production'!O80</f>
        <v>Field Crop 3</v>
      </c>
      <c r="P34" s="53" t="str">
        <f>'8 Cost of Production'!P80</f>
        <v>Container Crop 10</v>
      </c>
      <c r="Q34" s="53" t="str">
        <f>'8 Cost of Production'!Q80</f>
        <v>Container Crop 11</v>
      </c>
      <c r="R34" s="53" t="str">
        <f>'8 Cost of Production'!R80</f>
        <v>Container Crop 12</v>
      </c>
      <c r="S34" s="53" t="str">
        <f>'8 Cost of Production'!S80</f>
        <v>Container Crop 13</v>
      </c>
      <c r="T34" s="53" t="str">
        <f>'8 Cost of Production'!T80</f>
        <v>Container Crop 14</v>
      </c>
      <c r="U34" s="53" t="str">
        <f>'8 Cost of Production'!U80</f>
        <v>Container Crop 15</v>
      </c>
      <c r="V34" s="53" t="str">
        <f>'8 Cost of Production'!V80</f>
        <v>Container Crop 16</v>
      </c>
      <c r="W34" s="53" t="str">
        <f>'8 Cost of Production'!W80</f>
        <v>Container Crop 17</v>
      </c>
      <c r="X34" s="53" t="str">
        <f>'8 Cost of Production'!X80</f>
        <v>Container Crop 18</v>
      </c>
      <c r="Y34" s="53" t="str">
        <f>'8 Cost of Production'!Y80</f>
        <v>Field Crop 4</v>
      </c>
      <c r="Z34" s="53" t="str">
        <f>'8 Cost of Production'!Z80</f>
        <v>Field Crop 5</v>
      </c>
      <c r="AA34" s="53" t="str">
        <f>'8 Cost of Production'!AA80</f>
        <v>Field Crop 6</v>
      </c>
      <c r="AB34" s="53" t="str">
        <f>'8 Cost of Production'!AB80</f>
        <v>Field Crop 7</v>
      </c>
    </row>
    <row r="35" spans="2:28" ht="12.75">
      <c r="B35" s="64" t="s">
        <v>74</v>
      </c>
      <c r="C35" s="1"/>
      <c r="D35" s="46">
        <f>'1 Enterprises'!D6*'1 Enterprises'!D15</f>
        <v>45000</v>
      </c>
      <c r="E35" s="46">
        <f>'1 Enterprises'!E6*'1 Enterprises'!E15</f>
        <v>17850</v>
      </c>
      <c r="F35" s="46">
        <f>'1 Enterprises'!F6*'1 Enterprises'!F15</f>
        <v>11200</v>
      </c>
      <c r="G35" s="46">
        <f>'1 Enterprises'!G6*'1 Enterprises'!G15</f>
        <v>62280</v>
      </c>
      <c r="H35" s="46">
        <f>'1 Enterprises'!H6*'1 Enterprises'!H15</f>
        <v>24140</v>
      </c>
      <c r="I35" s="46">
        <f>'1 Enterprises'!I6*'1 Enterprises'!I15</f>
        <v>13840</v>
      </c>
      <c r="J35" s="46">
        <f>'1 Enterprises'!J6*'1 Enterprises'!J15</f>
        <v>29520</v>
      </c>
      <c r="K35" s="46">
        <f>'1 Enterprises'!K6*'1 Enterprises'!K15</f>
        <v>13404.5</v>
      </c>
      <c r="L35" s="46">
        <f>'1 Enterprises'!L6*'1 Enterprises'!L15</f>
        <v>24480</v>
      </c>
      <c r="M35" s="46">
        <f>'1 Enterprises'!M6*'1 Enterprises'!M15</f>
        <v>850</v>
      </c>
      <c r="N35" s="46">
        <f>'1 Enterprises'!N6*'1 Enterprises'!N15</f>
        <v>1020</v>
      </c>
      <c r="O35" s="46">
        <f>'1 Enterprises'!O6*'1 Enterprises'!O15</f>
        <v>1275</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row>
    <row r="36" spans="2:28" ht="12.75">
      <c r="B36" s="64"/>
      <c r="C36" s="1"/>
      <c r="D36" s="3"/>
      <c r="E36" s="3"/>
      <c r="F36" s="3"/>
      <c r="G36" s="3"/>
      <c r="H36" s="3"/>
      <c r="I36" s="3"/>
      <c r="J36" s="3"/>
      <c r="K36" s="3"/>
      <c r="L36" s="3"/>
      <c r="M36" s="3"/>
      <c r="N36" s="3"/>
      <c r="O36" s="3"/>
      <c r="P36" s="3"/>
      <c r="Q36" s="3"/>
      <c r="R36" s="3"/>
      <c r="S36" s="3"/>
      <c r="T36" s="3"/>
      <c r="U36" s="3"/>
      <c r="V36" s="3"/>
      <c r="W36" s="3"/>
      <c r="X36" s="3"/>
      <c r="Y36" s="3"/>
      <c r="Z36" s="3"/>
      <c r="AA36" s="3"/>
      <c r="AB36" s="3"/>
    </row>
    <row r="37" spans="2:28" ht="12.75">
      <c r="B37" s="64" t="s">
        <v>93</v>
      </c>
      <c r="C37" s="1"/>
      <c r="D37" s="3">
        <f aca="true" t="shared" si="6" ref="D37:N37">D30</f>
        <v>2.4151597374706326</v>
      </c>
      <c r="E37" s="3">
        <f t="shared" si="6"/>
        <v>6.065795932522966</v>
      </c>
      <c r="F37" s="3">
        <f t="shared" si="6"/>
        <v>15.41194584476946</v>
      </c>
      <c r="G37" s="3">
        <f t="shared" si="6"/>
        <v>2.8172859517563467</v>
      </c>
      <c r="H37" s="3">
        <f t="shared" si="6"/>
        <v>6.310553632522965</v>
      </c>
      <c r="I37" s="3">
        <f t="shared" si="6"/>
        <v>16.084628130483743</v>
      </c>
      <c r="J37" s="3">
        <f t="shared" si="6"/>
        <v>3.4045188981849184</v>
      </c>
      <c r="K37" s="3">
        <f t="shared" si="6"/>
        <v>6.5827541325229655</v>
      </c>
      <c r="L37" s="3">
        <f t="shared" si="6"/>
        <v>17.09365155905517</v>
      </c>
      <c r="M37" s="3">
        <f t="shared" si="6"/>
        <v>51.95938952326083</v>
      </c>
      <c r="N37" s="3">
        <f t="shared" si="6"/>
        <v>52.55001452326083</v>
      </c>
      <c r="O37" s="3">
        <f aca="true" t="shared" si="7" ref="O37:AB37">O30</f>
        <v>53.43595202326083</v>
      </c>
      <c r="P37" s="3">
        <f t="shared" si="7"/>
        <v>0</v>
      </c>
      <c r="Q37" s="3">
        <f t="shared" si="7"/>
        <v>0</v>
      </c>
      <c r="R37" s="3">
        <f t="shared" si="7"/>
        <v>0</v>
      </c>
      <c r="S37" s="3">
        <f t="shared" si="7"/>
        <v>0</v>
      </c>
      <c r="T37" s="3">
        <f t="shared" si="7"/>
        <v>0</v>
      </c>
      <c r="U37" s="3">
        <f t="shared" si="7"/>
        <v>0</v>
      </c>
      <c r="V37" s="3">
        <f t="shared" si="7"/>
        <v>0</v>
      </c>
      <c r="W37" s="3">
        <f t="shared" si="7"/>
        <v>0</v>
      </c>
      <c r="X37" s="3">
        <f t="shared" si="7"/>
        <v>0</v>
      </c>
      <c r="Y37" s="3">
        <f t="shared" si="7"/>
        <v>0</v>
      </c>
      <c r="Z37" s="3">
        <f t="shared" si="7"/>
        <v>0</v>
      </c>
      <c r="AA37" s="3">
        <f t="shared" si="7"/>
        <v>0</v>
      </c>
      <c r="AB37" s="3">
        <f t="shared" si="7"/>
        <v>0</v>
      </c>
    </row>
    <row r="38" spans="2:28" ht="12.75">
      <c r="B38" s="64"/>
      <c r="C38" s="1"/>
      <c r="D38" s="3"/>
      <c r="E38" s="3"/>
      <c r="F38" s="3"/>
      <c r="G38" s="3"/>
      <c r="H38" s="3"/>
      <c r="I38" s="3"/>
      <c r="J38" s="3"/>
      <c r="K38" s="3"/>
      <c r="L38" s="3"/>
      <c r="M38" s="3"/>
      <c r="N38" s="3"/>
      <c r="O38" s="3"/>
      <c r="P38" s="3"/>
      <c r="Q38" s="3"/>
      <c r="R38" s="3"/>
      <c r="S38" s="3"/>
      <c r="T38" s="3"/>
      <c r="U38" s="3"/>
      <c r="V38" s="3"/>
      <c r="W38" s="3"/>
      <c r="X38" s="3"/>
      <c r="Y38" s="3"/>
      <c r="Z38" s="3"/>
      <c r="AA38" s="3"/>
      <c r="AB38" s="3"/>
    </row>
    <row r="39" spans="2:28" ht="12.75">
      <c r="B39" s="64" t="s">
        <v>75</v>
      </c>
      <c r="C39" s="1"/>
      <c r="D39" s="3">
        <f>IF(D35&gt;0,(D30/'1 Enterprises'!D8),0)</f>
        <v>2.4151597374706326</v>
      </c>
      <c r="E39" s="3">
        <f>IF(E35&gt;0,(E30/'1 Enterprises'!E8),0)</f>
        <v>6.065795932522966</v>
      </c>
      <c r="F39" s="3">
        <f>IF(F35&gt;0,(F30/'1 Enterprises'!F8),0)</f>
        <v>15.41194584476946</v>
      </c>
      <c r="G39" s="3">
        <f>IF(G35&gt;0,(G30/'1 Enterprises'!G8),0)</f>
        <v>2.8172859517563467</v>
      </c>
      <c r="H39" s="3">
        <f>IF(H35&gt;0,(H30/'1 Enterprises'!H8),0)</f>
        <v>6.310553632522965</v>
      </c>
      <c r="I39" s="3">
        <f>IF(I35&gt;0,(I30/'1 Enterprises'!I8),0)</f>
        <v>16.084628130483743</v>
      </c>
      <c r="J39" s="3">
        <f>IF(J35&gt;0,(J30/'1 Enterprises'!J8),0)</f>
        <v>3.4045188981849184</v>
      </c>
      <c r="K39" s="3">
        <f>IF(K35&gt;0,(K30/'1 Enterprises'!K8),0)</f>
        <v>6.5827541325229655</v>
      </c>
      <c r="L39" s="3">
        <f>IF(L35&gt;0,(L30/'1 Enterprises'!L8),0)</f>
        <v>17.09365155905517</v>
      </c>
      <c r="M39" s="3">
        <f>IF(M35&gt;0,(M30/'1 Enterprises'!M8),0)</f>
        <v>51.95938952326083</v>
      </c>
      <c r="N39" s="3">
        <f>IF(N35&gt;0,(N30/'1 Enterprises'!N8),0)</f>
        <v>52.55001452326083</v>
      </c>
      <c r="O39" s="3">
        <f>IF(O35&gt;0,(O30/'1 Enterprises'!O8),0)</f>
        <v>53.43595202326083</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row>
    <row r="40" spans="2:28" ht="12.75">
      <c r="B40" s="64"/>
      <c r="C40" s="1"/>
      <c r="D40" s="3"/>
      <c r="E40" s="3"/>
      <c r="F40" s="3"/>
      <c r="G40" s="3"/>
      <c r="H40" s="3"/>
      <c r="I40" s="3"/>
      <c r="J40" s="3"/>
      <c r="K40" s="3"/>
      <c r="L40" s="3"/>
      <c r="M40" s="3"/>
      <c r="N40" s="3"/>
      <c r="O40" s="3"/>
      <c r="P40" s="3"/>
      <c r="Q40" s="3"/>
      <c r="R40" s="3"/>
      <c r="S40" s="3"/>
      <c r="T40" s="3"/>
      <c r="U40" s="3"/>
      <c r="V40" s="3"/>
      <c r="W40" s="3"/>
      <c r="X40" s="3"/>
      <c r="Y40" s="3"/>
      <c r="Z40" s="3"/>
      <c r="AA40" s="3"/>
      <c r="AB40" s="3"/>
    </row>
    <row r="41" spans="2:28" ht="12.75">
      <c r="B41" s="64" t="s">
        <v>76</v>
      </c>
      <c r="C41" s="1"/>
      <c r="D41" s="37">
        <f>IF(D37&gt;0,('1 Enterprises'!D6*D37),0)</f>
        <v>120757.98687353163</v>
      </c>
      <c r="E41" s="37">
        <f>IF(E37&gt;0,('1 Enterprises'!E6*E37),0)</f>
        <v>127381.71458298228</v>
      </c>
      <c r="F41" s="37">
        <f>IF(F37&gt;0,('1 Enterprises'!F6*F37),0)</f>
        <v>215767.24182677246</v>
      </c>
      <c r="G41" s="37">
        <f>IF(G37&gt;0,('1 Enterprises'!G6*G37),0)</f>
        <v>194956.1878615392</v>
      </c>
      <c r="H41" s="37">
        <f>IF(H37&gt;0,('1 Enterprises'!H6*H37),0)</f>
        <v>179219.7231636522</v>
      </c>
      <c r="I41" s="37">
        <f>IF(I37&gt;0,('1 Enterprises'!I6*I37),0)</f>
        <v>278264.06665736873</v>
      </c>
      <c r="J41" s="37">
        <f>IF(J37&gt;0,('1 Enterprises'!J6*J37),0)</f>
        <v>111668.21986046532</v>
      </c>
      <c r="K41" s="37">
        <f>IF(K37&gt;0,('1 Enterprises'!K6*K37),0)</f>
        <v>103810.03266988716</v>
      </c>
      <c r="L41" s="37">
        <f>IF(L37&gt;0,('1 Enterprises'!L6*L37),0)</f>
        <v>523065.73770708824</v>
      </c>
      <c r="M41" s="37">
        <f>IF(M37&gt;0,('1 Enterprises'!M6*M37),0)</f>
        <v>51959.389523260834</v>
      </c>
      <c r="N41" s="37">
        <f>IF(N37&gt;0,('1 Enterprises'!N6*N37),0)</f>
        <v>63060.01742791299</v>
      </c>
      <c r="O41" s="37">
        <f>IF(O37&gt;0,('1 Enterprises'!O6*O37),0)</f>
        <v>80153.92803489124</v>
      </c>
      <c r="P41" s="37">
        <f>IF(P37&gt;0,('1 Enterprises'!P6*P37),0)</f>
        <v>0</v>
      </c>
      <c r="Q41" s="37">
        <f>IF(Q37&gt;0,('1 Enterprises'!Q6*Q37),0)</f>
        <v>0</v>
      </c>
      <c r="R41" s="37">
        <f>IF(R37&gt;0,('1 Enterprises'!R6*R37),0)</f>
        <v>0</v>
      </c>
      <c r="S41" s="37">
        <f>IF(S37&gt;0,('1 Enterprises'!S6*S37),0)</f>
        <v>0</v>
      </c>
      <c r="T41" s="37">
        <f>IF(T37&gt;0,('1 Enterprises'!T6*T37),0)</f>
        <v>0</v>
      </c>
      <c r="U41" s="37">
        <f>IF(U37&gt;0,('1 Enterprises'!U6*U37),0)</f>
        <v>0</v>
      </c>
      <c r="V41" s="37">
        <f>IF(V37&gt;0,('1 Enterprises'!V6*V37),0)</f>
        <v>0</v>
      </c>
      <c r="W41" s="37">
        <f>IF(W37&gt;0,('1 Enterprises'!W6*W37),0)</f>
        <v>0</v>
      </c>
      <c r="X41" s="37">
        <f>IF(X37&gt;0,('1 Enterprises'!X6*X37),0)</f>
        <v>0</v>
      </c>
      <c r="Y41" s="37">
        <f>IF(Y37&gt;0,('1 Enterprises'!Y6*Y37),0)</f>
        <v>0</v>
      </c>
      <c r="Z41" s="37">
        <f>IF(Z37&gt;0,('1 Enterprises'!Z6*Z37),0)</f>
        <v>0</v>
      </c>
      <c r="AA41" s="37">
        <f>IF(AA37&gt;0,('1 Enterprises'!AA6*AA37),0)</f>
        <v>0</v>
      </c>
      <c r="AB41" s="37">
        <f>IF(AB37&gt;0,('1 Enterprises'!AB6*AB37),0)</f>
        <v>0</v>
      </c>
    </row>
    <row r="42" spans="2:28" ht="12.75">
      <c r="B42" s="64"/>
      <c r="C42" s="1"/>
      <c r="D42" s="109"/>
      <c r="E42" s="33"/>
      <c r="F42" s="33"/>
      <c r="I42" s="2"/>
      <c r="J42" s="2"/>
      <c r="K42" s="2"/>
      <c r="L42" s="2"/>
      <c r="M42" s="2"/>
      <c r="N42" s="2"/>
      <c r="O42" s="2"/>
      <c r="P42" s="2"/>
      <c r="Q42" s="2"/>
      <c r="R42" s="2"/>
      <c r="S42" s="2"/>
      <c r="T42" s="2"/>
      <c r="U42" s="2"/>
      <c r="V42" s="2"/>
      <c r="W42" s="2"/>
      <c r="X42" s="2"/>
      <c r="Y42" s="2"/>
      <c r="Z42" s="2"/>
      <c r="AA42" s="2"/>
      <c r="AB42" s="2"/>
    </row>
    <row r="43" spans="2:28" ht="15.75">
      <c r="B43" s="105" t="s">
        <v>346</v>
      </c>
      <c r="C43" s="9"/>
      <c r="D43" s="222"/>
      <c r="E43" s="33"/>
      <c r="F43" s="33"/>
      <c r="I43" s="2"/>
      <c r="J43" s="2"/>
      <c r="K43" s="2"/>
      <c r="L43" s="2"/>
      <c r="M43" s="2"/>
      <c r="N43" s="2"/>
      <c r="O43" s="2"/>
      <c r="P43" s="2"/>
      <c r="Q43" s="2"/>
      <c r="R43" s="2"/>
      <c r="S43" s="2"/>
      <c r="T43" s="2"/>
      <c r="U43" s="2"/>
      <c r="V43" s="2"/>
      <c r="W43" s="2"/>
      <c r="X43" s="2"/>
      <c r="Y43" s="2"/>
      <c r="Z43" s="2"/>
      <c r="AA43" s="2"/>
      <c r="AB43" s="2"/>
    </row>
    <row r="44" spans="2:28" ht="15">
      <c r="B44" s="64"/>
      <c r="C44" s="202"/>
      <c r="D44" s="219" t="s">
        <v>342</v>
      </c>
      <c r="E44" s="216" t="s">
        <v>341</v>
      </c>
      <c r="F44" s="217" t="s">
        <v>343</v>
      </c>
      <c r="G44" s="218" t="s">
        <v>344</v>
      </c>
      <c r="I44" s="2"/>
      <c r="J44" s="2"/>
      <c r="K44" s="2"/>
      <c r="L44" s="2"/>
      <c r="M44" s="2"/>
      <c r="N44" s="2"/>
      <c r="O44" s="2"/>
      <c r="P44" s="2"/>
      <c r="Q44" s="2"/>
      <c r="R44" s="2"/>
      <c r="S44" s="2"/>
      <c r="T44" s="2"/>
      <c r="U44" s="2"/>
      <c r="V44" s="2"/>
      <c r="W44" s="2"/>
      <c r="X44" s="2"/>
      <c r="Y44" s="2"/>
      <c r="Z44" s="2"/>
      <c r="AA44" s="2"/>
      <c r="AB44" s="2"/>
    </row>
    <row r="45" spans="2:28" ht="12.75">
      <c r="B45" s="67" t="str">
        <f aca="true" t="shared" si="8" ref="B45:B51">B14</f>
        <v> Containers</v>
      </c>
      <c r="D45" s="109">
        <f>'2 Income Statement'!D37</f>
        <v>130000</v>
      </c>
      <c r="E45" s="109">
        <f aca="true" t="shared" si="9" ref="E45:E51">AE14</f>
        <v>132758.5</v>
      </c>
      <c r="F45" s="214">
        <f>E45-D45</f>
        <v>2758.5</v>
      </c>
      <c r="G45" s="215">
        <f>IF(D45=0,0,E45/D45)</f>
        <v>1.0212192307692307</v>
      </c>
      <c r="I45" s="2"/>
      <c r="J45" s="2"/>
      <c r="K45" s="2"/>
      <c r="L45" s="2"/>
      <c r="M45" s="2"/>
      <c r="N45" s="2"/>
      <c r="O45" s="2"/>
      <c r="P45" s="2"/>
      <c r="Q45" s="2"/>
      <c r="R45" s="2"/>
      <c r="S45" s="2"/>
      <c r="T45" s="2"/>
      <c r="U45" s="2"/>
      <c r="V45" s="2"/>
      <c r="W45" s="2"/>
      <c r="X45" s="2"/>
      <c r="Y45" s="2"/>
      <c r="Z45" s="2"/>
      <c r="AA45" s="2"/>
      <c r="AB45" s="2"/>
    </row>
    <row r="46" spans="2:28" ht="12.75">
      <c r="B46" s="67" t="str">
        <f t="shared" si="8"/>
        <v> Substrate</v>
      </c>
      <c r="D46" s="109">
        <f>'2 Income Statement'!D38</f>
        <v>225000</v>
      </c>
      <c r="E46" s="109">
        <f t="shared" si="9"/>
        <v>244832.08000000002</v>
      </c>
      <c r="F46" s="214">
        <f aca="true" t="shared" si="10" ref="F46:F59">E46-D46</f>
        <v>19832.080000000016</v>
      </c>
      <c r="G46" s="215">
        <f aca="true" t="shared" si="11" ref="G46:G58">IF(D46=0,0,E46/D46)</f>
        <v>1.0881425777777778</v>
      </c>
      <c r="I46" s="2"/>
      <c r="J46" s="2"/>
      <c r="K46" s="2"/>
      <c r="L46" s="2"/>
      <c r="M46" s="2"/>
      <c r="N46" s="2"/>
      <c r="O46" s="2"/>
      <c r="P46" s="2"/>
      <c r="Q46" s="2"/>
      <c r="R46" s="2"/>
      <c r="S46" s="2"/>
      <c r="T46" s="2"/>
      <c r="U46" s="2"/>
      <c r="V46" s="2"/>
      <c r="W46" s="2"/>
      <c r="X46" s="2"/>
      <c r="Y46" s="2"/>
      <c r="Z46" s="2"/>
      <c r="AA46" s="2"/>
      <c r="AB46" s="2"/>
    </row>
    <row r="47" spans="2:28" ht="12.75">
      <c r="B47" s="67" t="str">
        <f t="shared" si="8"/>
        <v> Liner Cost (Starting plant)</v>
      </c>
      <c r="D47" s="109">
        <f>'2 Income Statement'!D39</f>
        <v>1000000</v>
      </c>
      <c r="E47" s="109">
        <f t="shared" si="9"/>
        <v>1077058</v>
      </c>
      <c r="F47" s="214">
        <f t="shared" si="10"/>
        <v>77058</v>
      </c>
      <c r="G47" s="215">
        <f t="shared" si="11"/>
        <v>1.077058</v>
      </c>
      <c r="I47" s="2"/>
      <c r="J47" s="2"/>
      <c r="K47" s="2"/>
      <c r="L47" s="2"/>
      <c r="M47" s="2"/>
      <c r="N47" s="2"/>
      <c r="O47" s="2"/>
      <c r="P47" s="2"/>
      <c r="Q47" s="2"/>
      <c r="R47" s="2"/>
      <c r="S47" s="2"/>
      <c r="T47" s="2"/>
      <c r="U47" s="2"/>
      <c r="V47" s="2"/>
      <c r="W47" s="2"/>
      <c r="X47" s="2"/>
      <c r="Y47" s="2"/>
      <c r="Z47" s="2"/>
      <c r="AA47" s="2"/>
      <c r="AB47" s="2"/>
    </row>
    <row r="48" spans="2:28" ht="12.75">
      <c r="B48" s="67" t="str">
        <f t="shared" si="8"/>
        <v> Planting Materials (stake, ties, tags, trellis, etc.)</v>
      </c>
      <c r="D48" s="109">
        <f>'2 Income Statement'!D40</f>
        <v>13000</v>
      </c>
      <c r="E48" s="109">
        <f t="shared" si="9"/>
        <v>19895.35</v>
      </c>
      <c r="F48" s="214">
        <f t="shared" si="10"/>
        <v>6895.3499999999985</v>
      </c>
      <c r="G48" s="215">
        <f t="shared" si="11"/>
        <v>1.5304115384615384</v>
      </c>
      <c r="I48" s="2"/>
      <c r="J48" s="2"/>
      <c r="K48" s="2"/>
      <c r="L48" s="2"/>
      <c r="M48" s="2"/>
      <c r="N48" s="2"/>
      <c r="O48" s="2"/>
      <c r="P48" s="2"/>
      <c r="Q48" s="2"/>
      <c r="R48" s="2"/>
      <c r="S48" s="2"/>
      <c r="T48" s="2"/>
      <c r="U48" s="2"/>
      <c r="V48" s="2"/>
      <c r="W48" s="2"/>
      <c r="X48" s="2"/>
      <c r="Y48" s="2"/>
      <c r="Z48" s="2"/>
      <c r="AA48" s="2"/>
      <c r="AB48" s="2"/>
    </row>
    <row r="49" spans="2:28" ht="12.75">
      <c r="B49" s="67" t="str">
        <f t="shared" si="8"/>
        <v> Fertilizer</v>
      </c>
      <c r="D49" s="109">
        <f>'2 Income Statement'!D41</f>
        <v>45000</v>
      </c>
      <c r="E49" s="109">
        <f t="shared" si="9"/>
        <v>70858.51900680689</v>
      </c>
      <c r="F49" s="214">
        <f t="shared" si="10"/>
        <v>25858.51900680689</v>
      </c>
      <c r="G49" s="215">
        <f t="shared" si="11"/>
        <v>1.5746337557068197</v>
      </c>
      <c r="I49" s="2"/>
      <c r="J49" s="2"/>
      <c r="K49" s="2"/>
      <c r="L49" s="2"/>
      <c r="M49" s="2"/>
      <c r="N49" s="2"/>
      <c r="O49" s="2"/>
      <c r="P49" s="2"/>
      <c r="Q49" s="2"/>
      <c r="R49" s="2"/>
      <c r="S49" s="2"/>
      <c r="T49" s="2"/>
      <c r="U49" s="2"/>
      <c r="V49" s="2"/>
      <c r="W49" s="2"/>
      <c r="X49" s="2"/>
      <c r="Y49" s="2"/>
      <c r="Z49" s="2"/>
      <c r="AA49" s="2"/>
      <c r="AB49" s="2"/>
    </row>
    <row r="50" spans="2:28" ht="12.75">
      <c r="B50" s="67" t="str">
        <f t="shared" si="8"/>
        <v> Pest Control Chemicals</v>
      </c>
      <c r="D50" s="109">
        <f>'2 Income Statement'!D42</f>
        <v>20000</v>
      </c>
      <c r="E50" s="109">
        <f t="shared" si="9"/>
        <v>22253.339653624993</v>
      </c>
      <c r="F50" s="214">
        <f t="shared" si="10"/>
        <v>2253.339653624993</v>
      </c>
      <c r="G50" s="215">
        <f t="shared" si="11"/>
        <v>1.1126669826812496</v>
      </c>
      <c r="I50" s="2"/>
      <c r="J50" s="2"/>
      <c r="K50" s="2"/>
      <c r="L50" s="2"/>
      <c r="M50" s="2"/>
      <c r="N50" s="2"/>
      <c r="O50" s="2"/>
      <c r="P50" s="2"/>
      <c r="Q50" s="2"/>
      <c r="R50" s="2"/>
      <c r="S50" s="2"/>
      <c r="T50" s="2"/>
      <c r="U50" s="2"/>
      <c r="V50" s="2"/>
      <c r="W50" s="2"/>
      <c r="X50" s="2"/>
      <c r="Y50" s="2"/>
      <c r="Z50" s="2"/>
      <c r="AA50" s="2"/>
      <c r="AB50" s="2"/>
    </row>
    <row r="51" spans="2:28" ht="12.75">
      <c r="B51" s="67" t="str">
        <f t="shared" si="8"/>
        <v> Labor - Planting</v>
      </c>
      <c r="D51" s="109">
        <f>'2 Income Statement'!D43</f>
        <v>19000</v>
      </c>
      <c r="E51" s="109">
        <f t="shared" si="9"/>
        <v>19778.930000000004</v>
      </c>
      <c r="F51" s="214">
        <f t="shared" si="10"/>
        <v>778.9300000000039</v>
      </c>
      <c r="G51" s="215">
        <f t="shared" si="11"/>
        <v>1.040996315789474</v>
      </c>
      <c r="I51" s="2"/>
      <c r="J51" s="2"/>
      <c r="K51" s="2"/>
      <c r="L51" s="2"/>
      <c r="M51" s="2"/>
      <c r="N51" s="2"/>
      <c r="O51" s="2"/>
      <c r="P51" s="2"/>
      <c r="Q51" s="2"/>
      <c r="R51" s="2"/>
      <c r="S51" s="2"/>
      <c r="T51" s="2"/>
      <c r="U51" s="2"/>
      <c r="V51" s="2"/>
      <c r="W51" s="2"/>
      <c r="X51" s="2"/>
      <c r="Y51" s="2"/>
      <c r="Z51" s="2"/>
      <c r="AA51" s="2"/>
      <c r="AB51" s="2"/>
    </row>
    <row r="52" spans="2:28" ht="12.75">
      <c r="B52" s="67" t="str">
        <f aca="true" t="shared" si="12" ref="B52:B58">B22</f>
        <v> Maintenance Labor for Enterprise</v>
      </c>
      <c r="D52" s="109">
        <f>'2 Income Statement'!D44</f>
        <v>120000</v>
      </c>
      <c r="E52" s="109">
        <f aca="true" t="shared" si="13" ref="E52:E58">AE22</f>
        <v>124258.06346153843</v>
      </c>
      <c r="F52" s="214">
        <f t="shared" si="10"/>
        <v>4258.063461538433</v>
      </c>
      <c r="G52" s="215">
        <f t="shared" si="11"/>
        <v>1.0354838621794868</v>
      </c>
      <c r="I52" s="2"/>
      <c r="J52" s="2"/>
      <c r="K52" s="2"/>
      <c r="L52" s="2"/>
      <c r="M52" s="2"/>
      <c r="N52" s="2"/>
      <c r="O52" s="2"/>
      <c r="P52" s="2"/>
      <c r="Q52" s="2"/>
      <c r="R52" s="2"/>
      <c r="S52" s="2"/>
      <c r="T52" s="2"/>
      <c r="U52" s="2"/>
      <c r="V52" s="2"/>
      <c r="W52" s="2"/>
      <c r="X52" s="2"/>
      <c r="Y52" s="2"/>
      <c r="Z52" s="2"/>
      <c r="AA52" s="2"/>
      <c r="AB52" s="2"/>
    </row>
    <row r="53" spans="2:28" ht="12.75">
      <c r="B53" s="67" t="str">
        <f t="shared" si="12"/>
        <v> Labor - Harvest</v>
      </c>
      <c r="D53" s="109">
        <f>'2 Income Statement'!D45</f>
        <v>78000</v>
      </c>
      <c r="E53" s="109">
        <f t="shared" si="13"/>
        <v>80691.96</v>
      </c>
      <c r="F53" s="214">
        <f t="shared" si="10"/>
        <v>2691.9600000000064</v>
      </c>
      <c r="G53" s="215">
        <f t="shared" si="11"/>
        <v>1.0345123076923077</v>
      </c>
      <c r="I53" s="2"/>
      <c r="J53" s="2"/>
      <c r="K53" s="2"/>
      <c r="L53" s="2"/>
      <c r="M53" s="2"/>
      <c r="N53" s="2"/>
      <c r="O53" s="2"/>
      <c r="P53" s="2"/>
      <c r="Q53" s="2"/>
      <c r="R53" s="2"/>
      <c r="S53" s="2"/>
      <c r="T53" s="2"/>
      <c r="U53" s="2"/>
      <c r="V53" s="2"/>
      <c r="W53" s="2"/>
      <c r="X53" s="2"/>
      <c r="Y53" s="2"/>
      <c r="Z53" s="2"/>
      <c r="AA53" s="2"/>
      <c r="AB53" s="2"/>
    </row>
    <row r="54" spans="2:28" ht="12.75">
      <c r="B54" s="67" t="str">
        <f t="shared" si="12"/>
        <v> Over winter protection</v>
      </c>
      <c r="D54" s="109">
        <f>'2 Income Statement'!D46</f>
        <v>10000</v>
      </c>
      <c r="E54" s="109">
        <f t="shared" si="13"/>
        <v>18861.3593669713</v>
      </c>
      <c r="F54" s="214">
        <f t="shared" si="10"/>
        <v>8861.359366971301</v>
      </c>
      <c r="G54" s="215">
        <f t="shared" si="11"/>
        <v>1.8861359366971302</v>
      </c>
      <c r="I54" s="2"/>
      <c r="J54" s="2"/>
      <c r="K54" s="2"/>
      <c r="L54" s="2"/>
      <c r="M54" s="2"/>
      <c r="N54" s="2"/>
      <c r="O54" s="2"/>
      <c r="P54" s="2"/>
      <c r="Q54" s="2"/>
      <c r="R54" s="2"/>
      <c r="S54" s="2"/>
      <c r="T54" s="2"/>
      <c r="U54" s="2"/>
      <c r="V54" s="2"/>
      <c r="W54" s="2"/>
      <c r="X54" s="2"/>
      <c r="Y54" s="2"/>
      <c r="Z54" s="2"/>
      <c r="AA54" s="2"/>
      <c r="AB54" s="2"/>
    </row>
    <row r="55" spans="2:28" ht="12.75">
      <c r="B55" s="67" t="str">
        <f t="shared" si="12"/>
        <v> Harvest Materials</v>
      </c>
      <c r="D55" s="109">
        <f>'2 Income Statement'!D47</f>
        <v>54000</v>
      </c>
      <c r="E55" s="109">
        <f t="shared" si="13"/>
        <v>55500</v>
      </c>
      <c r="F55" s="214">
        <f t="shared" si="10"/>
        <v>1500</v>
      </c>
      <c r="G55" s="215">
        <f t="shared" si="11"/>
        <v>1.0277777777777777</v>
      </c>
      <c r="I55" s="2"/>
      <c r="J55" s="2"/>
      <c r="K55" s="2"/>
      <c r="L55" s="2"/>
      <c r="M55" s="2"/>
      <c r="N55" s="2"/>
      <c r="O55" s="2"/>
      <c r="P55" s="2"/>
      <c r="Q55" s="2"/>
      <c r="R55" s="2"/>
      <c r="S55" s="2"/>
      <c r="T55" s="2"/>
      <c r="U55" s="2"/>
      <c r="V55" s="2"/>
      <c r="W55" s="2"/>
      <c r="X55" s="2"/>
      <c r="Y55" s="2"/>
      <c r="Z55" s="2"/>
      <c r="AA55" s="2"/>
      <c r="AB55" s="2"/>
    </row>
    <row r="56" spans="2:28" ht="12.75">
      <c r="B56" s="67" t="str">
        <f t="shared" si="12"/>
        <v> Other DC 1</v>
      </c>
      <c r="D56" s="109">
        <f>'2 Income Statement'!D48</f>
        <v>0</v>
      </c>
      <c r="E56" s="109">
        <f t="shared" si="13"/>
        <v>0</v>
      </c>
      <c r="F56" s="214">
        <f t="shared" si="10"/>
        <v>0</v>
      </c>
      <c r="G56" s="215">
        <f t="shared" si="11"/>
        <v>0</v>
      </c>
      <c r="I56" s="2"/>
      <c r="J56" s="2"/>
      <c r="K56" s="2"/>
      <c r="L56" s="2"/>
      <c r="M56" s="2"/>
      <c r="N56" s="2"/>
      <c r="O56" s="2"/>
      <c r="P56" s="2"/>
      <c r="Q56" s="2"/>
      <c r="R56" s="2"/>
      <c r="S56" s="2"/>
      <c r="T56" s="2"/>
      <c r="U56" s="2"/>
      <c r="V56" s="2"/>
      <c r="W56" s="2"/>
      <c r="X56" s="2"/>
      <c r="Y56" s="2"/>
      <c r="Z56" s="2"/>
      <c r="AA56" s="2"/>
      <c r="AB56" s="2"/>
    </row>
    <row r="57" spans="2:28" ht="12.75">
      <c r="B57" s="67" t="str">
        <f t="shared" si="12"/>
        <v> Other DC 2</v>
      </c>
      <c r="D57" s="109">
        <f>'2 Income Statement'!D49</f>
        <v>0</v>
      </c>
      <c r="E57" s="109">
        <f t="shared" si="13"/>
        <v>0</v>
      </c>
      <c r="F57" s="214">
        <f t="shared" si="10"/>
        <v>0</v>
      </c>
      <c r="G57" s="215">
        <f t="shared" si="11"/>
        <v>0</v>
      </c>
      <c r="I57" s="2"/>
      <c r="J57" s="2"/>
      <c r="K57" s="2"/>
      <c r="L57" s="2"/>
      <c r="M57" s="2"/>
      <c r="N57" s="2"/>
      <c r="O57" s="2"/>
      <c r="P57" s="2"/>
      <c r="Q57" s="2"/>
      <c r="R57" s="2"/>
      <c r="S57" s="2"/>
      <c r="T57" s="2"/>
      <c r="U57" s="2"/>
      <c r="V57" s="2"/>
      <c r="W57" s="2"/>
      <c r="X57" s="2"/>
      <c r="Y57" s="2"/>
      <c r="Z57" s="2"/>
      <c r="AA57" s="2"/>
      <c r="AB57" s="2"/>
    </row>
    <row r="58" spans="2:28" ht="12.75">
      <c r="B58" s="220" t="str">
        <f t="shared" si="12"/>
        <v> Other DC 3</v>
      </c>
      <c r="C58" s="221"/>
      <c r="D58" s="222">
        <f>'2 Income Statement'!D50</f>
        <v>0</v>
      </c>
      <c r="E58" s="222">
        <f t="shared" si="13"/>
        <v>0</v>
      </c>
      <c r="F58" s="223">
        <f t="shared" si="10"/>
        <v>0</v>
      </c>
      <c r="G58" s="250">
        <f t="shared" si="11"/>
        <v>0</v>
      </c>
      <c r="I58" s="2"/>
      <c r="J58" s="2"/>
      <c r="K58" s="2"/>
      <c r="L58" s="2"/>
      <c r="M58" s="2"/>
      <c r="N58" s="2"/>
      <c r="O58" s="2"/>
      <c r="P58" s="2"/>
      <c r="Q58" s="2"/>
      <c r="R58" s="2"/>
      <c r="S58" s="2"/>
      <c r="T58" s="2"/>
      <c r="U58" s="2"/>
      <c r="V58" s="2"/>
      <c r="W58" s="2"/>
      <c r="X58" s="2"/>
      <c r="Y58" s="2"/>
      <c r="Z58" s="2"/>
      <c r="AA58" s="2"/>
      <c r="AB58" s="2"/>
    </row>
    <row r="59" spans="2:28" ht="12.75">
      <c r="B59" s="67" t="s">
        <v>345</v>
      </c>
      <c r="D59" s="109">
        <f>SUM(D45:D58)</f>
        <v>1714000</v>
      </c>
      <c r="E59" s="109">
        <f>SUM(E45:E58)</f>
        <v>1866746.1014889416</v>
      </c>
      <c r="F59" s="214">
        <f t="shared" si="10"/>
        <v>152746.10148894158</v>
      </c>
      <c r="G59" s="215">
        <f>IF(D59&gt;0,E59/D59,0)</f>
        <v>1.0891167453261037</v>
      </c>
      <c r="I59" s="2"/>
      <c r="J59" s="2"/>
      <c r="K59" s="2"/>
      <c r="L59" s="2"/>
      <c r="M59" s="2"/>
      <c r="N59" s="2"/>
      <c r="O59" s="2"/>
      <c r="P59" s="2"/>
      <c r="Q59" s="2"/>
      <c r="R59" s="2"/>
      <c r="S59" s="2"/>
      <c r="T59" s="2"/>
      <c r="U59" s="2"/>
      <c r="V59" s="2"/>
      <c r="W59" s="2"/>
      <c r="X59" s="2"/>
      <c r="Y59" s="2"/>
      <c r="Z59" s="2"/>
      <c r="AA59" s="2"/>
      <c r="AB59" s="2"/>
    </row>
    <row r="60" spans="2:28" ht="12.75">
      <c r="B60" s="67"/>
      <c r="C60" s="1"/>
      <c r="D60" s="109"/>
      <c r="E60" s="109"/>
      <c r="F60" s="33"/>
      <c r="I60" s="2"/>
      <c r="J60" s="2"/>
      <c r="K60" s="2"/>
      <c r="L60" s="2"/>
      <c r="M60" s="2"/>
      <c r="N60" s="2"/>
      <c r="O60" s="2"/>
      <c r="P60" s="2"/>
      <c r="Q60" s="2"/>
      <c r="R60" s="2"/>
      <c r="S60" s="2"/>
      <c r="T60" s="2"/>
      <c r="U60" s="2"/>
      <c r="V60" s="2"/>
      <c r="W60" s="2"/>
      <c r="X60" s="2"/>
      <c r="Y60" s="2"/>
      <c r="Z60" s="2"/>
      <c r="AA60" s="2"/>
      <c r="AB60" s="2"/>
    </row>
    <row r="61" spans="2:28" ht="12.75">
      <c r="B61" s="66" t="s">
        <v>410</v>
      </c>
      <c r="C61" s="1"/>
      <c r="D61" s="3" t="s">
        <v>102</v>
      </c>
      <c r="E61" s="2"/>
      <c r="F61" s="3"/>
      <c r="G61" s="3"/>
      <c r="H61" s="3"/>
      <c r="I61" s="3"/>
      <c r="J61" s="3"/>
      <c r="K61" s="3"/>
      <c r="L61" s="3"/>
      <c r="M61" s="3"/>
      <c r="N61" s="3"/>
      <c r="O61" s="3"/>
      <c r="P61" s="3"/>
      <c r="Q61" s="3"/>
      <c r="R61" s="3"/>
      <c r="S61" s="3"/>
      <c r="T61" s="3"/>
      <c r="U61" s="3"/>
      <c r="V61" s="3"/>
      <c r="W61" s="3"/>
      <c r="X61" s="3"/>
      <c r="Y61" s="3"/>
      <c r="Z61" s="3"/>
      <c r="AA61" s="3"/>
      <c r="AB61" s="3"/>
    </row>
    <row r="62" spans="2:28" ht="12.75">
      <c r="B62" s="68" t="str">
        <f>'2 Income Statement'!B53</f>
        <v> * Interest </v>
      </c>
      <c r="C62" s="210" t="s">
        <v>321</v>
      </c>
      <c r="D62" s="86">
        <f>'2 Income Statement'!D53-AE29</f>
        <v>-33318.14470041086</v>
      </c>
      <c r="E62" s="2" t="s">
        <v>195</v>
      </c>
      <c r="F62" s="6"/>
      <c r="G62" s="6"/>
      <c r="H62" s="6"/>
      <c r="I62" s="6"/>
      <c r="J62" s="6"/>
      <c r="K62" s="6"/>
      <c r="L62" s="6"/>
      <c r="M62" s="6"/>
      <c r="N62" s="6"/>
      <c r="O62" s="6"/>
      <c r="P62" s="6"/>
      <c r="Q62" s="6"/>
      <c r="R62" s="6"/>
      <c r="S62" s="6"/>
      <c r="T62" s="6"/>
      <c r="U62" s="6"/>
      <c r="V62" s="6"/>
      <c r="W62" s="6"/>
      <c r="X62" s="6"/>
      <c r="Y62" s="6"/>
      <c r="Z62" s="6"/>
      <c r="AA62" s="6"/>
      <c r="AB62" s="6"/>
    </row>
    <row r="63" spans="2:28" ht="12.75">
      <c r="B63" s="68" t="str">
        <f>'2 Income Statement'!B54</f>
        <v>  Labor - Management</v>
      </c>
      <c r="C63" s="1"/>
      <c r="D63" s="86">
        <f>'2 Income Statement'!D54</f>
        <v>150000</v>
      </c>
      <c r="E63" s="2" t="s">
        <v>103</v>
      </c>
      <c r="F63" s="6"/>
      <c r="G63" s="6"/>
      <c r="H63" s="6"/>
      <c r="I63" s="6"/>
      <c r="J63" s="6"/>
      <c r="K63" s="6"/>
      <c r="L63" s="6"/>
      <c r="M63" s="6"/>
      <c r="N63" s="6"/>
      <c r="O63" s="6"/>
      <c r="P63" s="6"/>
      <c r="Q63" s="6"/>
      <c r="R63" s="6"/>
      <c r="S63" s="6"/>
      <c r="T63" s="6"/>
      <c r="U63" s="6"/>
      <c r="V63" s="6"/>
      <c r="W63" s="6"/>
      <c r="X63" s="6"/>
      <c r="Y63" s="6"/>
      <c r="Z63" s="6"/>
      <c r="AA63" s="6"/>
      <c r="AB63" s="6"/>
    </row>
    <row r="64" spans="2:28" ht="12.75">
      <c r="B64" s="68" t="str">
        <f>'2 Income Statement'!B55</f>
        <v> * Building Rents</v>
      </c>
      <c r="C64" s="1"/>
      <c r="D64" s="86">
        <f>'2 Income Statement'!D55</f>
        <v>20000</v>
      </c>
      <c r="E64" s="2" t="s">
        <v>196</v>
      </c>
      <c r="F64" s="6"/>
      <c r="G64" s="6"/>
      <c r="H64" s="6"/>
      <c r="I64" s="6"/>
      <c r="J64" s="6"/>
      <c r="K64" s="6"/>
      <c r="L64" s="6"/>
      <c r="M64" s="6"/>
      <c r="N64" s="6"/>
      <c r="O64" s="6"/>
      <c r="P64" s="6"/>
      <c r="Q64" s="6"/>
      <c r="R64" s="6"/>
      <c r="S64" s="6"/>
      <c r="T64" s="6"/>
      <c r="U64" s="6"/>
      <c r="V64" s="6"/>
      <c r="W64" s="6"/>
      <c r="X64" s="6"/>
      <c r="Y64" s="6"/>
      <c r="Z64" s="6"/>
      <c r="AA64" s="6"/>
      <c r="AB64" s="6"/>
    </row>
    <row r="65" spans="2:28" ht="12.75">
      <c r="B65" s="68" t="str">
        <f>'2 Income Statement'!B56</f>
        <v> * Machinery Leases </v>
      </c>
      <c r="C65" s="1"/>
      <c r="D65" s="86">
        <f>'2 Income Statement'!D56</f>
        <v>5000</v>
      </c>
      <c r="E65" s="2" t="s">
        <v>104</v>
      </c>
      <c r="F65" s="6"/>
      <c r="G65" s="6"/>
      <c r="H65" s="6"/>
      <c r="I65" s="6"/>
      <c r="J65" s="6"/>
      <c r="K65" s="6"/>
      <c r="L65" s="6"/>
      <c r="M65" s="6"/>
      <c r="N65" s="6"/>
      <c r="O65" s="6"/>
      <c r="P65" s="6"/>
      <c r="Q65" s="6"/>
      <c r="R65" s="6"/>
      <c r="S65" s="6"/>
      <c r="T65" s="6"/>
      <c r="U65" s="6"/>
      <c r="V65" s="6"/>
      <c r="W65" s="6"/>
      <c r="X65" s="6"/>
      <c r="Y65" s="6"/>
      <c r="Z65" s="6"/>
      <c r="AA65" s="6"/>
      <c r="AB65" s="6"/>
    </row>
    <row r="66" spans="2:28" ht="12.75">
      <c r="B66" s="68" t="str">
        <f>'2 Income Statement'!B57</f>
        <v> * Real Estate Taxes</v>
      </c>
      <c r="C66" s="1"/>
      <c r="D66" s="86">
        <f>'2 Income Statement'!D57</f>
        <v>8000</v>
      </c>
      <c r="E66" s="2" t="s">
        <v>105</v>
      </c>
      <c r="F66" s="6"/>
      <c r="G66" s="6"/>
      <c r="H66" s="6"/>
      <c r="I66" s="6"/>
      <c r="J66" s="6"/>
      <c r="K66" s="6"/>
      <c r="L66" s="6"/>
      <c r="M66" s="6"/>
      <c r="N66" s="6"/>
      <c r="O66" s="6"/>
      <c r="P66" s="6"/>
      <c r="Q66" s="6"/>
      <c r="R66" s="6"/>
      <c r="S66" s="6"/>
      <c r="T66" s="6"/>
      <c r="U66" s="6"/>
      <c r="V66" s="6"/>
      <c r="W66" s="6"/>
      <c r="X66" s="6"/>
      <c r="Y66" s="6"/>
      <c r="Z66" s="6"/>
      <c r="AA66" s="6"/>
      <c r="AB66" s="6"/>
    </row>
    <row r="67" spans="2:28" ht="12.75">
      <c r="B67" s="68" t="str">
        <f>'2 Income Statement'!B58</f>
        <v> * Insurance (Non Labor) </v>
      </c>
      <c r="C67" s="1"/>
      <c r="D67" s="86">
        <f>'2 Income Statement'!D58</f>
        <v>40000</v>
      </c>
      <c r="E67" s="2" t="s">
        <v>8</v>
      </c>
      <c r="F67" s="6"/>
      <c r="G67" s="6"/>
      <c r="H67" s="6"/>
      <c r="I67" s="6"/>
      <c r="J67" s="6"/>
      <c r="K67" s="6"/>
      <c r="L67" s="6"/>
      <c r="M67" s="6"/>
      <c r="N67" s="6"/>
      <c r="O67" s="6"/>
      <c r="P67" s="6"/>
      <c r="Q67" s="6"/>
      <c r="R67" s="6"/>
      <c r="S67" s="6"/>
      <c r="T67" s="6"/>
      <c r="U67" s="6"/>
      <c r="V67" s="6"/>
      <c r="W67" s="6"/>
      <c r="X67" s="6"/>
      <c r="Y67" s="6"/>
      <c r="Z67" s="6"/>
      <c r="AA67" s="6"/>
      <c r="AB67" s="6"/>
    </row>
    <row r="68" spans="2:28" ht="12.75">
      <c r="B68" s="68" t="str">
        <f>'2 Income Statement'!B59</f>
        <v> * Accounting and Legal Fees</v>
      </c>
      <c r="C68" s="1"/>
      <c r="D68" s="86">
        <f>'2 Income Statement'!D59</f>
        <v>5000</v>
      </c>
      <c r="E68" s="2" t="s">
        <v>97</v>
      </c>
      <c r="F68" s="6"/>
      <c r="G68" s="6"/>
      <c r="H68" s="6"/>
      <c r="I68" s="6"/>
      <c r="J68" s="6"/>
      <c r="K68" s="6"/>
      <c r="L68" s="6"/>
      <c r="M68" s="6"/>
      <c r="N68" s="6"/>
      <c r="O68" s="6"/>
      <c r="P68" s="6"/>
      <c r="Q68" s="6"/>
      <c r="R68" s="6"/>
      <c r="S68" s="6"/>
      <c r="T68" s="6"/>
      <c r="U68" s="6"/>
      <c r="V68" s="6"/>
      <c r="W68" s="6"/>
      <c r="X68" s="6"/>
      <c r="Y68" s="6"/>
      <c r="Z68" s="6"/>
      <c r="AA68" s="6"/>
      <c r="AB68" s="6"/>
    </row>
    <row r="69" spans="2:28" ht="12.75">
      <c r="B69" s="68" t="str">
        <f>'2 Income Statement'!B61</f>
        <v> * Fuel</v>
      </c>
      <c r="C69" s="1"/>
      <c r="D69" s="86">
        <f>'2 Income Statement'!D61</f>
        <v>10000</v>
      </c>
      <c r="E69" s="2" t="s">
        <v>115</v>
      </c>
      <c r="F69" s="6"/>
      <c r="G69" s="6"/>
      <c r="H69" s="6"/>
      <c r="I69" s="6"/>
      <c r="J69" s="6"/>
      <c r="K69" s="6"/>
      <c r="L69" s="6"/>
      <c r="M69" s="6"/>
      <c r="N69" s="6"/>
      <c r="O69" s="6"/>
      <c r="P69" s="6"/>
      <c r="Q69" s="6"/>
      <c r="R69" s="6"/>
      <c r="S69" s="6"/>
      <c r="T69" s="6"/>
      <c r="U69" s="6"/>
      <c r="V69" s="6"/>
      <c r="W69" s="6"/>
      <c r="X69" s="6"/>
      <c r="Y69" s="6"/>
      <c r="Z69" s="6"/>
      <c r="AA69" s="6"/>
      <c r="AB69" s="6"/>
    </row>
    <row r="70" spans="2:28" ht="12.75">
      <c r="B70" s="68" t="str">
        <f>'2 Income Statement'!B62</f>
        <v> * Repairs</v>
      </c>
      <c r="C70" s="1"/>
      <c r="D70" s="86">
        <f>'2 Income Statement'!D62</f>
        <v>20000</v>
      </c>
      <c r="E70" s="2" t="s">
        <v>116</v>
      </c>
      <c r="F70" s="6"/>
      <c r="G70" s="6"/>
      <c r="H70" s="6"/>
      <c r="I70" s="6"/>
      <c r="J70" s="6"/>
      <c r="K70" s="6"/>
      <c r="L70" s="6"/>
      <c r="M70" s="6"/>
      <c r="N70" s="6"/>
      <c r="O70" s="6"/>
      <c r="P70" s="6"/>
      <c r="Q70" s="6"/>
      <c r="R70" s="6"/>
      <c r="S70" s="6"/>
      <c r="T70" s="6"/>
      <c r="U70" s="6"/>
      <c r="V70" s="6"/>
      <c r="W70" s="6"/>
      <c r="X70" s="6"/>
      <c r="Y70" s="6"/>
      <c r="Z70" s="6"/>
      <c r="AA70" s="6"/>
      <c r="AB70" s="6"/>
    </row>
    <row r="71" spans="2:28" ht="12.75">
      <c r="B71" s="68" t="str">
        <f>'2 Income Statement'!B63</f>
        <v> * Utilities</v>
      </c>
      <c r="C71" s="1"/>
      <c r="D71" s="86">
        <f>'2 Income Statement'!D63</f>
        <v>25000</v>
      </c>
      <c r="E71" s="2"/>
      <c r="F71" s="6"/>
      <c r="G71" s="6"/>
      <c r="H71" s="6"/>
      <c r="I71" s="6"/>
      <c r="J71" s="6"/>
      <c r="K71" s="6"/>
      <c r="L71" s="6"/>
      <c r="M71" s="6"/>
      <c r="N71" s="6"/>
      <c r="O71" s="6"/>
      <c r="P71" s="6"/>
      <c r="Q71" s="6"/>
      <c r="R71" s="6"/>
      <c r="S71" s="6"/>
      <c r="T71" s="6"/>
      <c r="U71" s="6"/>
      <c r="V71" s="6"/>
      <c r="W71" s="6"/>
      <c r="X71" s="6"/>
      <c r="Y71" s="6"/>
      <c r="Z71" s="6"/>
      <c r="AA71" s="6"/>
      <c r="AB71" s="6"/>
    </row>
    <row r="72" spans="2:28" ht="12.75">
      <c r="B72" s="68" t="str">
        <f>'2 Income Statement'!B64</f>
        <v>a. Other Overhead</v>
      </c>
      <c r="C72" s="1"/>
      <c r="D72" s="86">
        <f>'2 Income Statement'!D64</f>
        <v>0</v>
      </c>
      <c r="E72" s="2"/>
      <c r="F72" s="6"/>
      <c r="G72" s="6"/>
      <c r="H72" s="6"/>
      <c r="I72" s="6"/>
      <c r="J72" s="6"/>
      <c r="K72" s="6"/>
      <c r="L72" s="6"/>
      <c r="M72" s="6"/>
      <c r="N72" s="6"/>
      <c r="O72" s="6"/>
      <c r="P72" s="6"/>
      <c r="Q72" s="6"/>
      <c r="R72" s="6"/>
      <c r="S72" s="6"/>
      <c r="T72" s="6"/>
      <c r="U72" s="6"/>
      <c r="V72" s="6"/>
      <c r="W72" s="6"/>
      <c r="X72" s="6"/>
      <c r="Y72" s="6"/>
      <c r="Z72" s="6"/>
      <c r="AA72" s="6"/>
      <c r="AB72" s="6"/>
    </row>
    <row r="73" spans="2:28" ht="12.75">
      <c r="B73" s="68" t="str">
        <f>'2 Income Statement'!B65</f>
        <v>b. Other Overhead</v>
      </c>
      <c r="C73" s="1"/>
      <c r="D73" s="86">
        <f>'2 Income Statement'!D65</f>
        <v>0</v>
      </c>
      <c r="E73" s="2"/>
      <c r="F73" s="6"/>
      <c r="G73" s="6"/>
      <c r="H73" s="6"/>
      <c r="I73" s="6"/>
      <c r="J73" s="6"/>
      <c r="K73" s="6"/>
      <c r="L73" s="6"/>
      <c r="M73" s="6"/>
      <c r="N73" s="6"/>
      <c r="O73" s="6"/>
      <c r="P73" s="6"/>
      <c r="Q73" s="6"/>
      <c r="R73" s="6"/>
      <c r="S73" s="6"/>
      <c r="T73" s="6"/>
      <c r="U73" s="6"/>
      <c r="V73" s="6"/>
      <c r="W73" s="6"/>
      <c r="X73" s="6"/>
      <c r="Y73" s="6"/>
      <c r="Z73" s="6"/>
      <c r="AA73" s="6"/>
      <c r="AB73" s="6"/>
    </row>
    <row r="74" spans="2:28" ht="12.75">
      <c r="B74" s="68" t="str">
        <f>'2 Income Statement'!B60</f>
        <v> * Depreciation</v>
      </c>
      <c r="C74" s="1"/>
      <c r="D74" s="86">
        <f>'2 Income Statement'!D60</f>
        <v>45000</v>
      </c>
      <c r="E74" s="2"/>
      <c r="F74" s="6"/>
      <c r="G74" s="6"/>
      <c r="H74" s="6"/>
      <c r="I74" s="6"/>
      <c r="J74" s="6"/>
      <c r="K74" s="6"/>
      <c r="L74" s="6"/>
      <c r="M74" s="6"/>
      <c r="N74" s="6"/>
      <c r="O74" s="6"/>
      <c r="P74" s="6"/>
      <c r="Q74" s="6"/>
      <c r="R74" s="6"/>
      <c r="S74" s="6"/>
      <c r="T74" s="6"/>
      <c r="U74" s="6"/>
      <c r="V74" s="6"/>
      <c r="W74" s="6"/>
      <c r="X74" s="6"/>
      <c r="Y74" s="6"/>
      <c r="Z74" s="6"/>
      <c r="AA74" s="6"/>
      <c r="AB74" s="6"/>
    </row>
    <row r="75" spans="2:28" ht="12.75">
      <c r="B75" s="64" t="s">
        <v>172</v>
      </c>
      <c r="C75" s="1"/>
      <c r="D75" s="86">
        <f>SUM(D62:D74)</f>
        <v>294681.8552995891</v>
      </c>
      <c r="E75" s="2"/>
      <c r="F75" s="6"/>
      <c r="G75" s="6"/>
      <c r="H75" s="6"/>
      <c r="I75" s="6"/>
      <c r="J75" s="6"/>
      <c r="K75" s="6"/>
      <c r="L75" s="6"/>
      <c r="M75" s="6"/>
      <c r="N75" s="6"/>
      <c r="O75" s="6"/>
      <c r="P75" s="6"/>
      <c r="Q75" s="6"/>
      <c r="R75" s="6"/>
      <c r="S75" s="6"/>
      <c r="T75" s="6"/>
      <c r="U75" s="6"/>
      <c r="V75" s="6"/>
      <c r="W75" s="6"/>
      <c r="X75" s="6"/>
      <c r="Y75" s="6"/>
      <c r="Z75" s="6"/>
      <c r="AA75" s="6"/>
      <c r="AB75" s="6"/>
    </row>
    <row r="76" spans="2:28" ht="12.75">
      <c r="B76" s="64"/>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28" ht="15">
      <c r="B77" s="64" t="s">
        <v>86</v>
      </c>
      <c r="C77" s="1"/>
      <c r="D77" s="146">
        <v>100000</v>
      </c>
      <c r="E77" s="2" t="s">
        <v>426</v>
      </c>
      <c r="F77" s="2"/>
      <c r="G77" s="6"/>
      <c r="H77" s="6"/>
      <c r="I77" s="6"/>
      <c r="J77" s="6"/>
      <c r="K77" s="6"/>
      <c r="L77" s="6"/>
      <c r="M77" s="6"/>
      <c r="N77" s="6"/>
      <c r="O77" s="6"/>
      <c r="P77" s="6"/>
      <c r="Q77" s="6"/>
      <c r="R77" s="6"/>
      <c r="S77" s="6"/>
      <c r="T77" s="6"/>
      <c r="U77" s="6"/>
      <c r="V77" s="6"/>
      <c r="W77" s="6"/>
      <c r="X77" s="6"/>
      <c r="Y77" s="6"/>
      <c r="Z77" s="6"/>
      <c r="AA77" s="6"/>
      <c r="AB77" s="6"/>
    </row>
    <row r="78" spans="2:28" ht="15">
      <c r="B78" s="64" t="s">
        <v>90</v>
      </c>
      <c r="C78" s="1"/>
      <c r="D78" s="146">
        <v>200000</v>
      </c>
      <c r="E78" s="2" t="s">
        <v>427</v>
      </c>
      <c r="F78" s="2"/>
      <c r="G78" s="6"/>
      <c r="H78" s="6"/>
      <c r="I78" s="6"/>
      <c r="J78" s="6"/>
      <c r="K78" s="6"/>
      <c r="L78" s="6"/>
      <c r="M78" s="6"/>
      <c r="N78" s="6"/>
      <c r="O78" s="6"/>
      <c r="P78" s="6"/>
      <c r="Q78" s="6"/>
      <c r="R78" s="6"/>
      <c r="S78" s="6"/>
      <c r="T78" s="6"/>
      <c r="U78" s="6"/>
      <c r="V78" s="6"/>
      <c r="W78" s="6"/>
      <c r="X78" s="6"/>
      <c r="Y78" s="6"/>
      <c r="Z78" s="6"/>
      <c r="AA78" s="6"/>
      <c r="AB78" s="6"/>
    </row>
    <row r="79" spans="2:28" ht="12.75">
      <c r="B79" s="64" t="s">
        <v>91</v>
      </c>
      <c r="C79" s="1"/>
      <c r="D79" s="37">
        <f>SUM(D75:D78)</f>
        <v>594681.8552995891</v>
      </c>
      <c r="E79" s="6"/>
      <c r="F79" s="6"/>
      <c r="G79" s="6"/>
      <c r="H79" s="6"/>
      <c r="I79" s="6"/>
      <c r="J79" s="6"/>
      <c r="K79" s="6"/>
      <c r="L79" s="6"/>
      <c r="M79" s="6"/>
      <c r="N79" s="6"/>
      <c r="O79" s="6"/>
      <c r="P79" s="6"/>
      <c r="Q79" s="6"/>
      <c r="R79" s="6"/>
      <c r="S79" s="6"/>
      <c r="T79" s="6"/>
      <c r="U79" s="6"/>
      <c r="V79" s="6"/>
      <c r="W79" s="6"/>
      <c r="X79" s="6"/>
      <c r="Y79" s="6"/>
      <c r="Z79" s="6"/>
      <c r="AA79" s="6"/>
      <c r="AB79" s="6"/>
    </row>
    <row r="80" spans="2:28" ht="26.25" thickBot="1">
      <c r="B80" s="65"/>
      <c r="C80" s="38"/>
      <c r="D80" s="52" t="str">
        <f>'1 Enterprises'!D5</f>
        <v>Container Crop 1</v>
      </c>
      <c r="E80" s="52" t="str">
        <f>'1 Enterprises'!E5</f>
        <v>Container Crop 2</v>
      </c>
      <c r="F80" s="52" t="str">
        <f>'1 Enterprises'!F5</f>
        <v>Container Crop 3</v>
      </c>
      <c r="G80" s="52" t="str">
        <f>'1 Enterprises'!G5</f>
        <v>Container Crop 4</v>
      </c>
      <c r="H80" s="52" t="str">
        <f>'1 Enterprises'!H5</f>
        <v>Container Crop 5</v>
      </c>
      <c r="I80" s="52" t="str">
        <f>'1 Enterprises'!I5</f>
        <v>Container Crop 6</v>
      </c>
      <c r="J80" s="52" t="str">
        <f>'1 Enterprises'!J5</f>
        <v>Container Crop 7</v>
      </c>
      <c r="K80" s="52" t="str">
        <f>'1 Enterprises'!K5</f>
        <v>Container Crop 8</v>
      </c>
      <c r="L80" s="52" t="str">
        <f>'1 Enterprises'!L5</f>
        <v>Container Crop 9</v>
      </c>
      <c r="M80" s="52" t="str">
        <f>'1 Enterprises'!M5</f>
        <v>Field Crop 1</v>
      </c>
      <c r="N80" s="52" t="str">
        <f>'1 Enterprises'!N5</f>
        <v>Field Crop 2</v>
      </c>
      <c r="O80" s="52" t="str">
        <f>'1 Enterprises'!O5</f>
        <v>Field Crop 3</v>
      </c>
      <c r="P80" s="52" t="str">
        <f>'1 Enterprises'!P5</f>
        <v>Container Crop 10</v>
      </c>
      <c r="Q80" s="52" t="str">
        <f>'1 Enterprises'!Q5</f>
        <v>Container Crop 11</v>
      </c>
      <c r="R80" s="52" t="str">
        <f>'1 Enterprises'!R5</f>
        <v>Container Crop 12</v>
      </c>
      <c r="S80" s="52" t="str">
        <f>'1 Enterprises'!S5</f>
        <v>Container Crop 13</v>
      </c>
      <c r="T80" s="52" t="str">
        <f>'1 Enterprises'!T5</f>
        <v>Container Crop 14</v>
      </c>
      <c r="U80" s="52" t="str">
        <f>'1 Enterprises'!U5</f>
        <v>Container Crop 15</v>
      </c>
      <c r="V80" s="52" t="str">
        <f>'1 Enterprises'!V5</f>
        <v>Container Crop 16</v>
      </c>
      <c r="W80" s="52" t="str">
        <f>'1 Enterprises'!W5</f>
        <v>Container Crop 17</v>
      </c>
      <c r="X80" s="52" t="str">
        <f>'1 Enterprises'!X5</f>
        <v>Container Crop 18</v>
      </c>
      <c r="Y80" s="52" t="str">
        <f>'1 Enterprises'!Y5</f>
        <v>Field Crop 4</v>
      </c>
      <c r="Z80" s="52" t="str">
        <f>'1 Enterprises'!Z5</f>
        <v>Field Crop 5</v>
      </c>
      <c r="AA80" s="52" t="str">
        <f>'1 Enterprises'!AA5</f>
        <v>Field Crop 6</v>
      </c>
      <c r="AB80" s="52" t="str">
        <f>'1 Enterprises'!AB5</f>
        <v>Field Crop 7</v>
      </c>
    </row>
    <row r="81" spans="2:28" ht="12.75">
      <c r="B81" s="64" t="s">
        <v>36</v>
      </c>
      <c r="C81" s="1"/>
      <c r="D81" s="37">
        <f>$D$79*'8 Cost of Production'!D9</f>
        <v>23196.737577146203</v>
      </c>
      <c r="E81" s="37">
        <f>$D$79*'8 Cost of Production'!E9</f>
        <v>38256.50448116936</v>
      </c>
      <c r="F81" s="37">
        <f>$D$79*'8 Cost of Production'!F9</f>
        <v>65672.66507089278</v>
      </c>
      <c r="G81" s="37">
        <f>$D$79*'8 Cost of Production'!G9</f>
        <v>32104.28480677035</v>
      </c>
      <c r="H81" s="37">
        <f>$D$79*'8 Cost of Production'!H9</f>
        <v>51737.36796501</v>
      </c>
      <c r="I81" s="37">
        <f>$D$79*'8 Cost of Production'!I9</f>
        <v>81152.65040903178</v>
      </c>
      <c r="J81" s="37">
        <f>$D$79*'8 Cost of Production'!J9</f>
        <v>15217.059850607911</v>
      </c>
      <c r="K81" s="37">
        <f>$D$79*'8 Cost of Production'!K9</f>
        <v>28728.81312704956</v>
      </c>
      <c r="L81" s="37">
        <f>$D$79*'8 Cost of Production'!L9</f>
        <v>143541.68222637993</v>
      </c>
      <c r="M81" s="37">
        <f>$D$79*'8 Cost of Production'!M9</f>
        <v>31101.105347440895</v>
      </c>
      <c r="N81" s="37">
        <f>$D$79*'8 Cost of Production'!N9</f>
        <v>37321.32641692908</v>
      </c>
      <c r="O81" s="37">
        <f>$D$79*'8 Cost of Production'!O9</f>
        <v>46651.65802116134</v>
      </c>
      <c r="P81" s="37">
        <f>$D$79*'8 Cost of Production'!P9</f>
        <v>0</v>
      </c>
      <c r="Q81" s="37">
        <f>$D$79*'8 Cost of Production'!Q9</f>
        <v>0</v>
      </c>
      <c r="R81" s="37">
        <f>$D$79*'8 Cost of Production'!R9</f>
        <v>0</v>
      </c>
      <c r="S81" s="37">
        <f>$D$79*'8 Cost of Production'!S9</f>
        <v>0</v>
      </c>
      <c r="T81" s="37">
        <f>$D$79*'8 Cost of Production'!T9</f>
        <v>0</v>
      </c>
      <c r="U81" s="37">
        <f>$D$79*'8 Cost of Production'!U9</f>
        <v>0</v>
      </c>
      <c r="V81" s="37">
        <f>$D$79*'8 Cost of Production'!V9</f>
        <v>0</v>
      </c>
      <c r="W81" s="37">
        <f>$D$79*'8 Cost of Production'!W9</f>
        <v>0</v>
      </c>
      <c r="X81" s="37">
        <f>$D$79*'8 Cost of Production'!X9</f>
        <v>0</v>
      </c>
      <c r="Y81" s="37">
        <f>$D$79*'8 Cost of Production'!Y9</f>
        <v>0</v>
      </c>
      <c r="Z81" s="37">
        <f>$D$79*'8 Cost of Production'!Z9</f>
        <v>0</v>
      </c>
      <c r="AA81" s="37">
        <f>$D$79*'8 Cost of Production'!AA9</f>
        <v>0</v>
      </c>
      <c r="AB81" s="37">
        <f>$D$79*'8 Cost of Production'!AB9</f>
        <v>0</v>
      </c>
    </row>
    <row r="82" spans="2:28" ht="12.75">
      <c r="B82" s="64" t="s">
        <v>72</v>
      </c>
      <c r="C82" s="7"/>
      <c r="D82" s="7">
        <f>IF('8 Cost of Production'!D35&gt;0,(D81/'8 Cost of Production'!D35),0)</f>
        <v>0.5154830572699156</v>
      </c>
      <c r="E82" s="7">
        <f>IF('8 Cost of Production'!E35&gt;0,(E81/'8 Cost of Production'!E35),0)</f>
        <v>2.1432215395613086</v>
      </c>
      <c r="F82" s="7">
        <f>IF('8 Cost of Production'!F35&gt;0,(F81/'8 Cost of Production'!F35),0)</f>
        <v>5.8636308099011405</v>
      </c>
      <c r="G82" s="7">
        <f>IF('8 Cost of Production'!G35&gt;0,(G81/'8 Cost of Production'!G35),0)</f>
        <v>0.5154830572699157</v>
      </c>
      <c r="H82" s="7">
        <f>IF('8 Cost of Production'!H35&gt;0,(H81/'8 Cost of Production'!H35),0)</f>
        <v>2.143221539561309</v>
      </c>
      <c r="I82" s="7">
        <f>IF('8 Cost of Production'!I35&gt;0,(I81/'8 Cost of Production'!I35),0)</f>
        <v>5.86363080990114</v>
      </c>
      <c r="J82" s="7">
        <f>IF('8 Cost of Production'!J35&gt;0,(J81/'8 Cost of Production'!J35),0)</f>
        <v>0.5154830572699157</v>
      </c>
      <c r="K82" s="7">
        <f>IF('8 Cost of Production'!K35&gt;0,(K81/'8 Cost of Production'!K35),0)</f>
        <v>2.1432215395613086</v>
      </c>
      <c r="L82" s="7">
        <f>IF('8 Cost of Production'!L35&gt;0,(L81/'8 Cost of Production'!L35),0)</f>
        <v>5.8636308099011405</v>
      </c>
      <c r="M82" s="7">
        <f>IF('8 Cost of Production'!M35&gt;0,(M81/'8 Cost of Production'!M35),0)</f>
        <v>36.58953570287164</v>
      </c>
      <c r="N82" s="7">
        <f>IF('8 Cost of Production'!N35&gt;0,(N81/'8 Cost of Production'!N35),0)</f>
        <v>36.58953570287164</v>
      </c>
      <c r="O82" s="7">
        <f>IF('8 Cost of Production'!O35&gt;0,(O81/'8 Cost of Production'!O35),0)</f>
        <v>36.589535702871636</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row>
    <row r="83" spans="2:28" ht="12.75">
      <c r="B83" s="64" t="s">
        <v>73</v>
      </c>
      <c r="C83" s="1"/>
      <c r="D83" s="8">
        <f aca="true" t="shared" si="14" ref="D83:AB83">D82+D31</f>
        <v>3.1989938766817296</v>
      </c>
      <c r="E83" s="8">
        <f t="shared" si="14"/>
        <v>9.279452048411857</v>
      </c>
      <c r="F83" s="8">
        <f t="shared" si="14"/>
        <v>25.128563115862967</v>
      </c>
      <c r="G83" s="8">
        <f t="shared" si="14"/>
        <v>3.645800781443634</v>
      </c>
      <c r="H83" s="8">
        <f t="shared" si="14"/>
        <v>9.567402283705974</v>
      </c>
      <c r="I83" s="8">
        <f t="shared" si="14"/>
        <v>25.969415973005816</v>
      </c>
      <c r="J83" s="8">
        <f t="shared" si="14"/>
        <v>4.298281833030936</v>
      </c>
      <c r="K83" s="8">
        <f t="shared" si="14"/>
        <v>9.887638166058915</v>
      </c>
      <c r="L83" s="8">
        <f t="shared" si="14"/>
        <v>27.230695258720104</v>
      </c>
      <c r="M83" s="8">
        <f t="shared" si="14"/>
        <v>97.71822925964909</v>
      </c>
      <c r="N83" s="8">
        <f t="shared" si="14"/>
        <v>98.41308220082556</v>
      </c>
      <c r="O83" s="8">
        <f t="shared" si="14"/>
        <v>99.45536161259027</v>
      </c>
      <c r="P83" s="8">
        <f t="shared" si="14"/>
        <v>0</v>
      </c>
      <c r="Q83" s="8">
        <f t="shared" si="14"/>
        <v>0</v>
      </c>
      <c r="R83" s="8">
        <f t="shared" si="14"/>
        <v>0</v>
      </c>
      <c r="S83" s="8">
        <f t="shared" si="14"/>
        <v>0</v>
      </c>
      <c r="T83" s="8">
        <f t="shared" si="14"/>
        <v>0</v>
      </c>
      <c r="U83" s="8">
        <f t="shared" si="14"/>
        <v>0</v>
      </c>
      <c r="V83" s="8">
        <f t="shared" si="14"/>
        <v>0</v>
      </c>
      <c r="W83" s="8">
        <f t="shared" si="14"/>
        <v>0</v>
      </c>
      <c r="X83" s="8">
        <f t="shared" si="14"/>
        <v>0</v>
      </c>
      <c r="Y83" s="8">
        <f t="shared" si="14"/>
        <v>0</v>
      </c>
      <c r="Z83" s="8">
        <f t="shared" si="14"/>
        <v>0</v>
      </c>
      <c r="AA83" s="8">
        <f t="shared" si="14"/>
        <v>0</v>
      </c>
      <c r="AB83" s="8">
        <f t="shared" si="14"/>
        <v>0</v>
      </c>
    </row>
    <row r="84" spans="2:28" s="136" customFormat="1" ht="15.75">
      <c r="B84" s="246" t="s">
        <v>446</v>
      </c>
      <c r="C84" s="247"/>
      <c r="D84" s="248">
        <f>IF(D83&gt;0,(D83/'1 Enterprises'!D8),0)</f>
        <v>3.1989938766817296</v>
      </c>
      <c r="E84" s="248">
        <f>IF(E83&gt;0,(E83/'1 Enterprises'!E8),0)</f>
        <v>9.279452048411857</v>
      </c>
      <c r="F84" s="248">
        <f>IF(F83&gt;0,(F83/'1 Enterprises'!F8),0)</f>
        <v>25.128563115862967</v>
      </c>
      <c r="G84" s="248">
        <f>IF(G83&gt;0,(G83/'1 Enterprises'!G8),0)</f>
        <v>3.645800781443634</v>
      </c>
      <c r="H84" s="248">
        <f>IF(H83&gt;0,(H83/'1 Enterprises'!H8),0)</f>
        <v>9.567402283705974</v>
      </c>
      <c r="I84" s="248">
        <f>IF(I83&gt;0,(I83/'1 Enterprises'!I8),0)</f>
        <v>25.969415973005816</v>
      </c>
      <c r="J84" s="248">
        <f>IF(J83&gt;0,(J83/'1 Enterprises'!J8),0)</f>
        <v>4.298281833030936</v>
      </c>
      <c r="K84" s="248">
        <f>IF(K83&gt;0,(K83/'1 Enterprises'!K8),0)</f>
        <v>9.887638166058915</v>
      </c>
      <c r="L84" s="248">
        <f>IF(L83&gt;0,(L83/'1 Enterprises'!L8),0)</f>
        <v>27.230695258720104</v>
      </c>
      <c r="M84" s="248">
        <f>IF(M83&gt;0,(M83/'1 Enterprises'!M8),0)</f>
        <v>97.71822925964909</v>
      </c>
      <c r="N84" s="248">
        <f>IF(N83&gt;0,(N83/'1 Enterprises'!N8),0)</f>
        <v>98.41308220082556</v>
      </c>
      <c r="O84" s="248">
        <f>IF(O83&gt;0,(O83/'1 Enterprises'!O8),0)</f>
        <v>99.45536161259027</v>
      </c>
      <c r="P84" s="248">
        <f>IF(P83&gt;0,(P83/'1 Enterprises'!P8),0)</f>
        <v>0</v>
      </c>
      <c r="Q84" s="248">
        <f>IF(Q83&gt;0,(Q83/'1 Enterprises'!Q8),0)</f>
        <v>0</v>
      </c>
      <c r="R84" s="248">
        <f>IF(R83&gt;0,(R83/'1 Enterprises'!R8),0)</f>
        <v>0</v>
      </c>
      <c r="S84" s="248">
        <f>IF(S83&gt;0,(S83/'1 Enterprises'!S8),0)</f>
        <v>0</v>
      </c>
      <c r="T84" s="248">
        <f>IF(T83&gt;0,(T83/'1 Enterprises'!T8),0)</f>
        <v>0</v>
      </c>
      <c r="U84" s="248">
        <f>IF(U83&gt;0,(U83/'1 Enterprises'!U8),0)</f>
        <v>0</v>
      </c>
      <c r="V84" s="248">
        <f>IF(V83&gt;0,(V83/'1 Enterprises'!V8),0)</f>
        <v>0</v>
      </c>
      <c r="W84" s="248">
        <f>IF(W83&gt;0,(W83/'1 Enterprises'!W8),0)</f>
        <v>0</v>
      </c>
      <c r="X84" s="248">
        <f>IF(X83&gt;0,(X83/'1 Enterprises'!X8),0)</f>
        <v>0</v>
      </c>
      <c r="Y84" s="248">
        <f>IF(Y83&gt;0,(Y83/'1 Enterprises'!Y8),0)</f>
        <v>0</v>
      </c>
      <c r="Z84" s="248">
        <f>IF(Z83&gt;0,(Z83/'1 Enterprises'!Z8),0)</f>
        <v>0</v>
      </c>
      <c r="AA84" s="248">
        <f>IF(AA83&gt;0,(AA83/'1 Enterprises'!AA8),0)</f>
        <v>0</v>
      </c>
      <c r="AB84" s="248">
        <f>IF(AB83&gt;0,(AB83/'1 Enterprises'!AB8),0)</f>
        <v>0</v>
      </c>
    </row>
    <row r="85" ht="12.75"/>
    <row r="86" spans="2:28" ht="15.75">
      <c r="B86" s="105" t="s">
        <v>117</v>
      </c>
      <c r="C86" s="9"/>
      <c r="D86" s="3"/>
      <c r="E86" s="3"/>
      <c r="I86" s="3"/>
      <c r="J86" s="3"/>
      <c r="K86" s="3"/>
      <c r="L86" s="3"/>
      <c r="M86" s="3"/>
      <c r="N86" s="3"/>
      <c r="O86" s="3"/>
      <c r="P86" s="3"/>
      <c r="Q86" s="3"/>
      <c r="R86" s="3"/>
      <c r="S86" s="3"/>
      <c r="T86" s="3"/>
      <c r="U86" s="3"/>
      <c r="V86" s="3"/>
      <c r="W86" s="3"/>
      <c r="X86" s="3"/>
      <c r="Y86" s="3"/>
      <c r="Z86" s="3"/>
      <c r="AA86" s="3"/>
      <c r="AB86" s="3"/>
    </row>
    <row r="87" spans="2:28" ht="12.75">
      <c r="B87" s="64" t="s">
        <v>91</v>
      </c>
      <c r="C87" s="1"/>
      <c r="D87" s="3"/>
      <c r="E87" s="86">
        <f>'8 Cost of Production'!D79</f>
        <v>594681.8552995891</v>
      </c>
      <c r="F87" s="33" t="s">
        <v>15</v>
      </c>
      <c r="G87" s="33"/>
      <c r="H87" s="33"/>
      <c r="I87" s="33"/>
      <c r="J87" s="3"/>
      <c r="K87" s="3"/>
      <c r="L87" s="3"/>
      <c r="M87" s="3"/>
      <c r="N87" s="3"/>
      <c r="O87" s="3"/>
      <c r="P87" s="3"/>
      <c r="Q87" s="3"/>
      <c r="R87" s="3"/>
      <c r="S87" s="3"/>
      <c r="T87" s="3"/>
      <c r="U87" s="3"/>
      <c r="V87" s="3"/>
      <c r="W87" s="3"/>
      <c r="X87" s="3"/>
      <c r="Y87" s="3"/>
      <c r="Z87" s="3"/>
      <c r="AA87" s="3"/>
      <c r="AB87" s="3"/>
    </row>
    <row r="88" spans="2:28" ht="12.75">
      <c r="B88" s="209" t="str">
        <f>'2 Income Statement'!B30</f>
        <v>Other Income</v>
      </c>
      <c r="C88" s="1"/>
      <c r="D88" s="10" t="s">
        <v>16</v>
      </c>
      <c r="E88" s="86">
        <f>'2 Income Statement'!H30</f>
        <v>0</v>
      </c>
      <c r="F88" s="33"/>
      <c r="G88" s="33"/>
      <c r="H88" s="33"/>
      <c r="I88" s="33"/>
      <c r="J88" s="3"/>
      <c r="K88" s="3"/>
      <c r="L88" s="3"/>
      <c r="M88" s="3"/>
      <c r="N88" s="3"/>
      <c r="O88" s="3"/>
      <c r="P88" s="3"/>
      <c r="Q88" s="3"/>
      <c r="R88" s="3"/>
      <c r="S88" s="3"/>
      <c r="T88" s="3"/>
      <c r="U88" s="3"/>
      <c r="V88" s="3"/>
      <c r="W88" s="3"/>
      <c r="X88" s="3"/>
      <c r="Y88" s="3"/>
      <c r="Z88" s="3"/>
      <c r="AA88" s="3"/>
      <c r="AB88" s="3"/>
    </row>
    <row r="89" spans="2:28" ht="12.75">
      <c r="B89" s="64" t="str">
        <f>'2 Income Statement'!B31</f>
        <v>Misc Income</v>
      </c>
      <c r="C89" s="1"/>
      <c r="D89" s="10" t="s">
        <v>16</v>
      </c>
      <c r="E89" s="102">
        <f>'2 Income Statement'!H31</f>
        <v>0</v>
      </c>
      <c r="F89" s="33" t="s">
        <v>411</v>
      </c>
      <c r="G89" s="33"/>
      <c r="H89" s="33"/>
      <c r="I89" s="33"/>
      <c r="J89" s="10"/>
      <c r="K89" s="10"/>
      <c r="L89" s="10"/>
      <c r="M89" s="10"/>
      <c r="N89" s="10"/>
      <c r="O89" s="10"/>
      <c r="P89" s="10"/>
      <c r="Q89" s="10"/>
      <c r="R89" s="10"/>
      <c r="S89" s="10"/>
      <c r="T89" s="10"/>
      <c r="U89" s="10"/>
      <c r="V89" s="10"/>
      <c r="W89" s="10"/>
      <c r="X89" s="10"/>
      <c r="Y89" s="10"/>
      <c r="Z89" s="10"/>
      <c r="AA89" s="10"/>
      <c r="AB89" s="10"/>
    </row>
    <row r="90" spans="2:28" ht="12.75">
      <c r="B90" s="64" t="s">
        <v>94</v>
      </c>
      <c r="C90" s="1"/>
      <c r="D90" s="10" t="s">
        <v>16</v>
      </c>
      <c r="E90" s="102">
        <f>'8 Cost of Production'!D78</f>
        <v>200000</v>
      </c>
      <c r="F90" s="33" t="s">
        <v>17</v>
      </c>
      <c r="G90" s="33"/>
      <c r="H90" s="33"/>
      <c r="I90" s="33"/>
      <c r="J90" s="10"/>
      <c r="K90" s="10"/>
      <c r="L90" s="10"/>
      <c r="M90" s="10"/>
      <c r="N90" s="10"/>
      <c r="O90" s="10"/>
      <c r="P90" s="10"/>
      <c r="Q90" s="10"/>
      <c r="R90" s="10"/>
      <c r="S90" s="10"/>
      <c r="T90" s="10"/>
      <c r="U90" s="10"/>
      <c r="V90" s="10"/>
      <c r="W90" s="10"/>
      <c r="X90" s="10"/>
      <c r="Y90" s="10"/>
      <c r="Z90" s="10"/>
      <c r="AA90" s="10"/>
      <c r="AB90" s="10"/>
    </row>
    <row r="91" spans="2:28" s="31" customFormat="1" ht="15">
      <c r="B91" s="64" t="s">
        <v>77</v>
      </c>
      <c r="C91" s="1"/>
      <c r="D91" s="10" t="s">
        <v>18</v>
      </c>
      <c r="E91" s="146">
        <v>10000</v>
      </c>
      <c r="F91" s="33" t="s">
        <v>315</v>
      </c>
      <c r="G91" s="33"/>
      <c r="H91" s="33"/>
      <c r="I91" s="33"/>
      <c r="J91" s="10"/>
      <c r="K91" s="10"/>
      <c r="L91" s="10"/>
      <c r="M91" s="10"/>
      <c r="N91" s="10"/>
      <c r="O91" s="10"/>
      <c r="P91" s="10"/>
      <c r="Q91" s="10"/>
      <c r="R91" s="10"/>
      <c r="S91" s="10"/>
      <c r="T91" s="10"/>
      <c r="U91" s="10"/>
      <c r="V91" s="10"/>
      <c r="W91" s="10"/>
      <c r="X91" s="10"/>
      <c r="Y91" s="10"/>
      <c r="Z91" s="10"/>
      <c r="AA91" s="10"/>
      <c r="AB91" s="10"/>
    </row>
    <row r="92" spans="2:28" s="31" customFormat="1" ht="12.75">
      <c r="B92" s="64" t="s">
        <v>95</v>
      </c>
      <c r="C92" s="1"/>
      <c r="D92" s="10" t="s">
        <v>16</v>
      </c>
      <c r="E92" s="102">
        <f>'8 Cost of Production'!D77</f>
        <v>100000</v>
      </c>
      <c r="F92" s="33" t="s">
        <v>19</v>
      </c>
      <c r="G92" s="33"/>
      <c r="H92" s="33"/>
      <c r="I92" s="33"/>
      <c r="J92" s="10"/>
      <c r="K92" s="10"/>
      <c r="L92" s="10"/>
      <c r="M92" s="10"/>
      <c r="N92" s="10"/>
      <c r="O92" s="10"/>
      <c r="P92" s="10"/>
      <c r="Q92" s="10"/>
      <c r="R92" s="10"/>
      <c r="S92" s="10"/>
      <c r="T92" s="10"/>
      <c r="U92" s="10"/>
      <c r="V92" s="10"/>
      <c r="W92" s="10"/>
      <c r="X92" s="10"/>
      <c r="Y92" s="10"/>
      <c r="Z92" s="10"/>
      <c r="AA92" s="10"/>
      <c r="AB92" s="10"/>
    </row>
    <row r="93" spans="2:28" ht="15">
      <c r="B93" s="64" t="s">
        <v>78</v>
      </c>
      <c r="C93" s="1"/>
      <c r="D93" s="10" t="str">
        <f>D91</f>
        <v>+</v>
      </c>
      <c r="E93" s="146">
        <v>36000</v>
      </c>
      <c r="F93" s="33" t="s">
        <v>20</v>
      </c>
      <c r="G93" s="33"/>
      <c r="H93" s="33"/>
      <c r="I93" s="33"/>
      <c r="J93" s="10"/>
      <c r="K93" s="10"/>
      <c r="L93" s="10"/>
      <c r="M93" s="10"/>
      <c r="N93" s="10"/>
      <c r="O93" s="10"/>
      <c r="P93" s="10"/>
      <c r="Q93" s="10"/>
      <c r="R93" s="10"/>
      <c r="S93" s="10"/>
      <c r="T93" s="10"/>
      <c r="U93" s="10"/>
      <c r="V93" s="10"/>
      <c r="W93" s="10"/>
      <c r="X93" s="10"/>
      <c r="Y93" s="10"/>
      <c r="Z93" s="10"/>
      <c r="AA93" s="10"/>
      <c r="AB93" s="10"/>
    </row>
    <row r="94" spans="2:28" ht="12.75">
      <c r="B94" s="64" t="s">
        <v>98</v>
      </c>
      <c r="C94" s="1"/>
      <c r="D94" s="10" t="s">
        <v>21</v>
      </c>
      <c r="E94" s="102">
        <f>E87-E88-E89-E90+E91-E92+E93</f>
        <v>340681.8552995891</v>
      </c>
      <c r="F94" s="10"/>
      <c r="G94" s="10"/>
      <c r="H94" s="10"/>
      <c r="I94" s="10"/>
      <c r="J94" s="10"/>
      <c r="K94" s="10"/>
      <c r="L94" s="10"/>
      <c r="M94" s="10"/>
      <c r="N94" s="10"/>
      <c r="O94" s="10"/>
      <c r="P94" s="10"/>
      <c r="Q94" s="10"/>
      <c r="R94" s="10"/>
      <c r="S94" s="10"/>
      <c r="T94" s="10"/>
      <c r="U94" s="10"/>
      <c r="V94" s="10"/>
      <c r="W94" s="10"/>
      <c r="X94" s="10"/>
      <c r="Y94" s="10"/>
      <c r="Z94" s="10"/>
      <c r="AA94" s="10"/>
      <c r="AB94" s="10"/>
    </row>
    <row r="95" spans="2:28" ht="12.75">
      <c r="B95" s="64" t="s">
        <v>79</v>
      </c>
      <c r="C95" s="3"/>
      <c r="D95" s="3">
        <f>IF('8 Cost of Production'!D35&gt;0,($E$94*'8 Cost of Production'!D9/'8 Cost of Production'!D35),0)</f>
        <v>0.295310379425899</v>
      </c>
      <c r="E95" s="3">
        <f>IF('8 Cost of Production'!E35&gt;0,($E$94*'8 Cost of Production'!E9/'8 Cost of Production'!E35),0)</f>
        <v>1.2278106081577849</v>
      </c>
      <c r="F95" s="3">
        <f>IF('8 Cost of Production'!F35&gt;0,($E$94*'8 Cost of Production'!F9/'8 Cost of Production'!F35),0)</f>
        <v>3.3591618868253255</v>
      </c>
      <c r="G95" s="3">
        <f>IF('8 Cost of Production'!G35&gt;0,($E$94*'8 Cost of Production'!G9/'8 Cost of Production'!G35),0)</f>
        <v>0.295310379425899</v>
      </c>
      <c r="H95" s="3">
        <f>IF('8 Cost of Production'!H35&gt;0,($E$94*'8 Cost of Production'!H9/'8 Cost of Production'!H35),0)</f>
        <v>1.227810608157785</v>
      </c>
      <c r="I95" s="3">
        <f>IF('8 Cost of Production'!I35&gt;0,($E$94*'8 Cost of Production'!I9/'8 Cost of Production'!I35),0)</f>
        <v>3.359161886825325</v>
      </c>
      <c r="J95" s="3">
        <f>IF('8 Cost of Production'!J35&gt;0,($E$94*'8 Cost of Production'!J9/'8 Cost of Production'!J35),0)</f>
        <v>0.29531037942589905</v>
      </c>
      <c r="K95" s="3">
        <f>IF('8 Cost of Production'!K35&gt;0,($E$94*'8 Cost of Production'!K9/'8 Cost of Production'!K35),0)</f>
        <v>1.2278106081577849</v>
      </c>
      <c r="L95" s="3">
        <f>IF('8 Cost of Production'!L35&gt;0,($E$94*'8 Cost of Production'!L9/'8 Cost of Production'!L35),0)</f>
        <v>3.3591618868253255</v>
      </c>
      <c r="M95" s="3">
        <f>IF('8 Cost of Production'!M35&gt;0,($E$94*'8 Cost of Production'!M9/'8 Cost of Production'!M35),0)</f>
        <v>20.961444840998293</v>
      </c>
      <c r="N95" s="3">
        <f>IF('8 Cost of Production'!N35&gt;0,($E$94*'8 Cost of Production'!N9/'8 Cost of Production'!N35),0)</f>
        <v>20.961444840998297</v>
      </c>
      <c r="O95" s="3">
        <f>IF('8 Cost of Production'!O35&gt;0,($E$94*'8 Cost of Production'!O9/'8 Cost of Production'!O35),0)</f>
        <v>20.961444840998293</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row>
    <row r="96" spans="2:28" ht="12.75">
      <c r="B96" s="64" t="s">
        <v>80</v>
      </c>
      <c r="C96" s="1"/>
      <c r="D96" s="3"/>
      <c r="E96" s="86">
        <f>E94+E59+AE29</f>
        <v>2390746.1014889413</v>
      </c>
      <c r="F96" s="3"/>
      <c r="G96" s="33"/>
      <c r="H96" s="33"/>
      <c r="I96" s="3"/>
      <c r="J96" s="3"/>
      <c r="K96" s="3"/>
      <c r="L96" s="3"/>
      <c r="M96" s="3"/>
      <c r="N96" s="3"/>
      <c r="O96" s="3"/>
      <c r="P96" s="3"/>
      <c r="Q96" s="3"/>
      <c r="R96" s="3"/>
      <c r="S96" s="3"/>
      <c r="T96" s="3"/>
      <c r="U96" s="3"/>
      <c r="V96" s="3"/>
      <c r="W96" s="3"/>
      <c r="X96" s="3"/>
      <c r="Y96" s="3"/>
      <c r="Z96" s="3"/>
      <c r="AA96" s="3"/>
      <c r="AB96" s="3"/>
    </row>
    <row r="97" spans="2:28" ht="12.75">
      <c r="B97" s="64"/>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28" ht="26.25" thickBot="1">
      <c r="B98" s="65"/>
      <c r="C98" s="38"/>
      <c r="D98" s="54" t="str">
        <f>'8 Cost of Production'!D34</f>
        <v>Container Crop 1</v>
      </c>
      <c r="E98" s="54" t="str">
        <f>'8 Cost of Production'!E34</f>
        <v>Container Crop 2</v>
      </c>
      <c r="F98" s="54" t="str">
        <f>'8 Cost of Production'!F34</f>
        <v>Container Crop 3</v>
      </c>
      <c r="G98" s="54" t="str">
        <f>'8 Cost of Production'!G34</f>
        <v>Container Crop 4</v>
      </c>
      <c r="H98" s="54" t="str">
        <f>'8 Cost of Production'!H34</f>
        <v>Container Crop 5</v>
      </c>
      <c r="I98" s="54" t="str">
        <f>'8 Cost of Production'!I34</f>
        <v>Container Crop 6</v>
      </c>
      <c r="J98" s="54" t="str">
        <f>'8 Cost of Production'!J34</f>
        <v>Container Crop 7</v>
      </c>
      <c r="K98" s="54" t="str">
        <f>'8 Cost of Production'!K34</f>
        <v>Container Crop 8</v>
      </c>
      <c r="L98" s="54" t="str">
        <f>'8 Cost of Production'!L34</f>
        <v>Container Crop 9</v>
      </c>
      <c r="M98" s="54" t="str">
        <f>'8 Cost of Production'!M34</f>
        <v>Field Crop 1</v>
      </c>
      <c r="N98" s="54" t="str">
        <f>'8 Cost of Production'!N34</f>
        <v>Field Crop 2</v>
      </c>
      <c r="O98" s="54" t="str">
        <f>'8 Cost of Production'!O34</f>
        <v>Field Crop 3</v>
      </c>
      <c r="P98" s="54" t="str">
        <f>'8 Cost of Production'!P34</f>
        <v>Container Crop 10</v>
      </c>
      <c r="Q98" s="54" t="str">
        <f>'8 Cost of Production'!Q34</f>
        <v>Container Crop 11</v>
      </c>
      <c r="R98" s="54" t="str">
        <f>'8 Cost of Production'!R34</f>
        <v>Container Crop 12</v>
      </c>
      <c r="S98" s="54" t="str">
        <f>'8 Cost of Production'!S34</f>
        <v>Container Crop 13</v>
      </c>
      <c r="T98" s="54" t="str">
        <f>'8 Cost of Production'!T34</f>
        <v>Container Crop 14</v>
      </c>
      <c r="U98" s="54" t="str">
        <f>'8 Cost of Production'!U34</f>
        <v>Container Crop 15</v>
      </c>
      <c r="V98" s="54" t="str">
        <f>'8 Cost of Production'!V34</f>
        <v>Container Crop 16</v>
      </c>
      <c r="W98" s="54" t="str">
        <f>'8 Cost of Production'!W34</f>
        <v>Container Crop 17</v>
      </c>
      <c r="X98" s="54" t="str">
        <f>'8 Cost of Production'!X34</f>
        <v>Container Crop 18</v>
      </c>
      <c r="Y98" s="54" t="str">
        <f>'8 Cost of Production'!Y34</f>
        <v>Field Crop 4</v>
      </c>
      <c r="Z98" s="54" t="str">
        <f>'8 Cost of Production'!Z34</f>
        <v>Field Crop 5</v>
      </c>
      <c r="AA98" s="54" t="str">
        <f>'8 Cost of Production'!AA34</f>
        <v>Field Crop 6</v>
      </c>
      <c r="AB98" s="54" t="str">
        <f>'8 Cost of Production'!AB34</f>
        <v>Field Crop 7</v>
      </c>
    </row>
    <row r="99" spans="2:28" ht="12.75">
      <c r="B99" s="64" t="s">
        <v>325</v>
      </c>
      <c r="C99" s="1"/>
      <c r="D99" s="3">
        <f>IF('8 Cost of Production'!D41&gt;0,(D95+('8 Cost of Production'!D37/'1 Enterprises'!D15)),0)</f>
        <v>2.978821198837713</v>
      </c>
      <c r="E99" s="3">
        <f>IF('8 Cost of Production'!E41&gt;0,(E95+('8 Cost of Production'!E37/'1 Enterprises'!E15)),0)</f>
        <v>8.364041117008334</v>
      </c>
      <c r="F99" s="3">
        <f>IF('8 Cost of Production'!F41&gt;0,(F95+('8 Cost of Production'!F37/'1 Enterprises'!F15)),0)</f>
        <v>22.62409419278715</v>
      </c>
      <c r="G99" s="3">
        <f>IF('8 Cost of Production'!G41&gt;0,(G95+('8 Cost of Production'!G37/'1 Enterprises'!G15)),0)</f>
        <v>3.4256281035996174</v>
      </c>
      <c r="H99" s="3">
        <f>IF('8 Cost of Production'!H41&gt;0,(H95+('8 Cost of Production'!H37/'1 Enterprises'!H15)),0)</f>
        <v>8.65199135230245</v>
      </c>
      <c r="I99" s="3">
        <f>IF('8 Cost of Production'!I41&gt;0,(I95+('8 Cost of Production'!I37/'1 Enterprises'!I15)),0)</f>
        <v>23.464947049930004</v>
      </c>
      <c r="J99" s="3">
        <f>IF('8 Cost of Production'!J41&gt;0,(J95+('8 Cost of Production'!J37/'1 Enterprises'!J15)),0)</f>
        <v>4.07810915518692</v>
      </c>
      <c r="K99" s="3">
        <f>IF('8 Cost of Production'!K41&gt;0,(K95+('8 Cost of Production'!K37/'1 Enterprises'!K15)),0)</f>
        <v>8.972227234655392</v>
      </c>
      <c r="L99" s="3">
        <f>IF('8 Cost of Production'!L41&gt;0,(L95+('8 Cost of Production'!L37/'1 Enterprises'!L15)),0)</f>
        <v>24.726226335644288</v>
      </c>
      <c r="M99" s="3">
        <f>IF('8 Cost of Production'!M41&gt;0,(M95+('8 Cost of Production'!M37/'1 Enterprises'!M15)),0)</f>
        <v>82.09013839777575</v>
      </c>
      <c r="N99" s="3">
        <f>IF('8 Cost of Production'!N41&gt;0,(N95+('8 Cost of Production'!N37/'1 Enterprises'!N15)),0)</f>
        <v>82.78499133895221</v>
      </c>
      <c r="O99" s="3">
        <f>IF('8 Cost of Production'!O41&gt;0,(O95+('8 Cost of Production'!O37/'1 Enterprises'!O15)),0)</f>
        <v>83.82727075071692</v>
      </c>
      <c r="P99" s="3">
        <f>IF('8 Cost of Production'!P41&gt;0,(P95+('8 Cost of Production'!P37/'1 Enterprises'!P15)),0)</f>
        <v>0</v>
      </c>
      <c r="Q99" s="3">
        <f>IF('8 Cost of Production'!Q41&gt;0,(Q95+('8 Cost of Production'!Q37/'1 Enterprises'!Q15)),0)</f>
        <v>0</v>
      </c>
      <c r="R99" s="3">
        <f>IF('8 Cost of Production'!R41&gt;0,(R95+('8 Cost of Production'!R37/'1 Enterprises'!R15)),0)</f>
        <v>0</v>
      </c>
      <c r="S99" s="3">
        <f>IF('8 Cost of Production'!S41&gt;0,(S95+('8 Cost of Production'!S37/'1 Enterprises'!S15)),0)</f>
        <v>0</v>
      </c>
      <c r="T99" s="3">
        <f>IF('8 Cost of Production'!T41&gt;0,(T95+('8 Cost of Production'!T37/'1 Enterprises'!T15)),0)</f>
        <v>0</v>
      </c>
      <c r="U99" s="3">
        <f>IF('8 Cost of Production'!U41&gt;0,(U95+('8 Cost of Production'!U37/'1 Enterprises'!U15)),0)</f>
        <v>0</v>
      </c>
      <c r="V99" s="3">
        <f>IF('8 Cost of Production'!V41&gt;0,(V95+('8 Cost of Production'!V37/'1 Enterprises'!V15)),0)</f>
        <v>0</v>
      </c>
      <c r="W99" s="3">
        <f>IF('8 Cost of Production'!W41&gt;0,(W95+('8 Cost of Production'!W37/'1 Enterprises'!W15)),0)</f>
        <v>0</v>
      </c>
      <c r="X99" s="3">
        <f>IF('8 Cost of Production'!X41&gt;0,(X95+('8 Cost of Production'!X37/'1 Enterprises'!X15)),0)</f>
        <v>0</v>
      </c>
      <c r="Y99" s="3">
        <f>IF('8 Cost of Production'!Y41&gt;0,(Y95+('8 Cost of Production'!Y37/'1 Enterprises'!Y15)),0)</f>
        <v>0</v>
      </c>
      <c r="Z99" s="3">
        <f>IF('8 Cost of Production'!Z41&gt;0,(Z95+('8 Cost of Production'!Z37/'1 Enterprises'!Z15)),0)</f>
        <v>0</v>
      </c>
      <c r="AA99" s="3">
        <f>IF('8 Cost of Production'!AA41&gt;0,(AA95+('8 Cost of Production'!AA37/'1 Enterprises'!AA15)),0)</f>
        <v>0</v>
      </c>
      <c r="AB99" s="3">
        <f>IF('8 Cost of Production'!AB41&gt;0,(AB95+('8 Cost of Production'!AB37/'1 Enterprises'!AB15)),0)</f>
        <v>0</v>
      </c>
    </row>
    <row r="100" spans="2:28" s="136" customFormat="1" ht="15.75">
      <c r="B100" s="246" t="s">
        <v>444</v>
      </c>
      <c r="C100" s="247"/>
      <c r="D100" s="249">
        <f>IF(D99&gt;0,(D99/'1 Enterprises'!D8),0)</f>
        <v>2.978821198837713</v>
      </c>
      <c r="E100" s="249">
        <f>IF(E99&gt;0,(E99/'1 Enterprises'!E8),0)</f>
        <v>8.364041117008334</v>
      </c>
      <c r="F100" s="249">
        <f>IF(F99&gt;0,(F99/'1 Enterprises'!F8),0)</f>
        <v>22.62409419278715</v>
      </c>
      <c r="G100" s="249">
        <f>IF(G99&gt;0,(G99/'1 Enterprises'!G8),0)</f>
        <v>3.4256281035996174</v>
      </c>
      <c r="H100" s="249">
        <f>IF(H99&gt;0,(H99/'1 Enterprises'!H8),0)</f>
        <v>8.65199135230245</v>
      </c>
      <c r="I100" s="249">
        <f>IF(I99&gt;0,(I99/'1 Enterprises'!I8),0)</f>
        <v>23.464947049930004</v>
      </c>
      <c r="J100" s="249">
        <f>IF(J99&gt;0,(J99/'1 Enterprises'!J8),0)</f>
        <v>4.07810915518692</v>
      </c>
      <c r="K100" s="249">
        <f>IF(K99&gt;0,(K99/'1 Enterprises'!K8),0)</f>
        <v>8.972227234655392</v>
      </c>
      <c r="L100" s="249">
        <f>IF(L99&gt;0,(L99/'1 Enterprises'!L8),0)</f>
        <v>24.726226335644288</v>
      </c>
      <c r="M100" s="249">
        <f>IF(M99&gt;0,(M99/'1 Enterprises'!M8),0)</f>
        <v>82.09013839777575</v>
      </c>
      <c r="N100" s="249">
        <f>IF(N99&gt;0,(N99/'1 Enterprises'!N8),0)</f>
        <v>82.78499133895221</v>
      </c>
      <c r="O100" s="249">
        <f>IF(O99&gt;0,(O99/'1 Enterprises'!O8),0)</f>
        <v>83.82727075071692</v>
      </c>
      <c r="P100" s="249">
        <f>IF(P99&gt;0,(P99/'1 Enterprises'!P8),0)</f>
        <v>0</v>
      </c>
      <c r="Q100" s="249">
        <f>IF(Q99&gt;0,(Q99/'1 Enterprises'!Q8),0)</f>
        <v>0</v>
      </c>
      <c r="R100" s="249">
        <f>IF(R99&gt;0,(R99/'1 Enterprises'!R8),0)</f>
        <v>0</v>
      </c>
      <c r="S100" s="249">
        <f>IF(S99&gt;0,(S99/'1 Enterprises'!S8),0)</f>
        <v>0</v>
      </c>
      <c r="T100" s="249">
        <f>IF(T99&gt;0,(T99/'1 Enterprises'!T8),0)</f>
        <v>0</v>
      </c>
      <c r="U100" s="249">
        <f>IF(U99&gt;0,(U99/'1 Enterprises'!U8),0)</f>
        <v>0</v>
      </c>
      <c r="V100" s="249">
        <f>IF(V99&gt;0,(V99/'1 Enterprises'!V8),0)</f>
        <v>0</v>
      </c>
      <c r="W100" s="249">
        <f>IF(W99&gt;0,(W99/'1 Enterprises'!W8),0)</f>
        <v>0</v>
      </c>
      <c r="X100" s="249">
        <f>IF(X99&gt;0,(X99/'1 Enterprises'!X8),0)</f>
        <v>0</v>
      </c>
      <c r="Y100" s="249">
        <f>IF(Y99&gt;0,(Y99/'1 Enterprises'!Y8),0)</f>
        <v>0</v>
      </c>
      <c r="Z100" s="249">
        <f>IF(Z99&gt;0,(Z99/'1 Enterprises'!Z8),0)</f>
        <v>0</v>
      </c>
      <c r="AA100" s="249">
        <f>IF(AA99&gt;0,(AA99/'1 Enterprises'!AA8),0)</f>
        <v>0</v>
      </c>
      <c r="AB100" s="249">
        <f>IF(AB99&gt;0,(AB99/'1 Enterprises'!AB8),0)</f>
        <v>0</v>
      </c>
    </row>
    <row r="101" spans="2:28" ht="12.75">
      <c r="B101" s="64"/>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5.75">
      <c r="B102" s="105" t="s">
        <v>212</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28" ht="15.75">
      <c r="B103" s="105"/>
      <c r="C103" s="9"/>
      <c r="D103" s="2"/>
      <c r="E103" s="2"/>
      <c r="F103" s="33" t="s">
        <v>34</v>
      </c>
      <c r="G103" s="33"/>
      <c r="H103" s="33"/>
      <c r="I103" s="33"/>
      <c r="J103" s="2"/>
      <c r="K103" s="2"/>
      <c r="L103" s="2"/>
      <c r="M103" s="2"/>
      <c r="N103" s="2"/>
      <c r="O103" s="2"/>
      <c r="P103" s="2"/>
      <c r="Q103" s="2"/>
      <c r="R103" s="2"/>
      <c r="S103" s="2"/>
      <c r="T103" s="2"/>
      <c r="U103" s="2"/>
      <c r="V103" s="2"/>
      <c r="W103" s="2"/>
      <c r="X103" s="2"/>
      <c r="Y103" s="2"/>
      <c r="Z103" s="2"/>
      <c r="AA103" s="2"/>
      <c r="AB103" s="2"/>
    </row>
    <row r="104" spans="2:28" ht="12.75">
      <c r="B104" s="64" t="s">
        <v>87</v>
      </c>
      <c r="C104" s="1"/>
      <c r="D104" s="2"/>
      <c r="E104" s="103">
        <f>'8 Cost of Production'!E94</f>
        <v>340681.8552995891</v>
      </c>
      <c r="F104" s="33" t="s">
        <v>316</v>
      </c>
      <c r="G104" s="33"/>
      <c r="H104" s="33"/>
      <c r="I104" s="33"/>
      <c r="J104" s="2"/>
      <c r="K104" s="2"/>
      <c r="L104" s="2"/>
      <c r="M104" s="2"/>
      <c r="N104" s="2"/>
      <c r="O104" s="2"/>
      <c r="P104" s="2"/>
      <c r="Q104" s="2"/>
      <c r="R104" s="2"/>
      <c r="S104" s="2"/>
      <c r="T104" s="2"/>
      <c r="U104" s="2"/>
      <c r="V104" s="2"/>
      <c r="W104" s="2"/>
      <c r="X104" s="2"/>
      <c r="Y104" s="2"/>
      <c r="Z104" s="2"/>
      <c r="AA104" s="2"/>
      <c r="AB104" s="2"/>
    </row>
    <row r="105" spans="2:28" ht="12.75">
      <c r="B105" s="64" t="s">
        <v>88</v>
      </c>
      <c r="C105" s="1"/>
      <c r="D105" s="11" t="s">
        <v>16</v>
      </c>
      <c r="E105" s="103">
        <f>'8 Cost of Production'!D74</f>
        <v>45000</v>
      </c>
      <c r="F105" s="33" t="s">
        <v>22</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28" ht="12.75">
      <c r="B106" s="64" t="s">
        <v>89</v>
      </c>
      <c r="C106" s="210" t="s">
        <v>321</v>
      </c>
      <c r="D106" s="11" t="s">
        <v>16</v>
      </c>
      <c r="E106" s="103">
        <f>'8 Cost of Production'!D62</f>
        <v>-33318.14470041086</v>
      </c>
      <c r="F106" s="33" t="s">
        <v>413</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28" ht="15">
      <c r="B107" s="64" t="s">
        <v>440</v>
      </c>
      <c r="C107" s="1"/>
      <c r="D107" s="11" t="s">
        <v>18</v>
      </c>
      <c r="E107" s="146">
        <v>200000</v>
      </c>
      <c r="F107" s="33" t="s">
        <v>85</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28" ht="15">
      <c r="B108" s="64" t="s">
        <v>81</v>
      </c>
      <c r="C108" s="1"/>
      <c r="D108" s="11" t="s">
        <v>18</v>
      </c>
      <c r="E108" s="146">
        <v>10000</v>
      </c>
      <c r="F108" s="33" t="s">
        <v>23</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28" ht="12.75">
      <c r="B109" s="64" t="s">
        <v>82</v>
      </c>
      <c r="C109" s="1"/>
      <c r="D109" s="11" t="s">
        <v>21</v>
      </c>
      <c r="E109" s="103">
        <f>E104-E105-E106+E107+E108</f>
        <v>539000</v>
      </c>
      <c r="F109" s="33" t="s">
        <v>317</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28" ht="12.75">
      <c r="B110" s="33"/>
      <c r="C110" s="2"/>
      <c r="D110" s="3"/>
      <c r="E110" s="3"/>
      <c r="F110" s="33" t="s">
        <v>24</v>
      </c>
      <c r="G110" s="33"/>
      <c r="H110" s="33"/>
      <c r="I110" s="33"/>
      <c r="J110" s="3"/>
      <c r="K110" s="3"/>
      <c r="L110" s="3"/>
      <c r="M110" s="3"/>
      <c r="N110" s="3"/>
      <c r="O110" s="3"/>
      <c r="P110" s="3"/>
      <c r="Q110" s="3"/>
      <c r="R110" s="3"/>
      <c r="S110" s="3"/>
      <c r="T110" s="3"/>
      <c r="U110" s="3"/>
      <c r="V110" s="3"/>
      <c r="W110" s="3"/>
      <c r="X110" s="3"/>
      <c r="Y110" s="3"/>
      <c r="Z110" s="3"/>
      <c r="AA110" s="3"/>
      <c r="AB110" s="3"/>
    </row>
    <row r="111" spans="2:28" ht="12.75">
      <c r="B111" s="64" t="s">
        <v>83</v>
      </c>
      <c r="C111" s="3"/>
      <c r="D111" s="3">
        <f>IF('8 Cost of Production'!D35&gt;0,($E109*'8 Cost of Production'!D9/'8 Cost of Production'!D35),0)</f>
        <v>0.4672168242437991</v>
      </c>
      <c r="E111" s="3">
        <f>IF('8 Cost of Production'!E35&gt;0,($E109*'8 Cost of Production'!E9/'8 Cost of Production'!E35),0)</f>
        <v>1.942545244198816</v>
      </c>
      <c r="F111" s="3">
        <f>IF('8 Cost of Production'!F35&gt;0,($E109*'8 Cost of Production'!F9/'8 Cost of Production'!F35),0)</f>
        <v>5.314601376133324</v>
      </c>
      <c r="G111" s="3">
        <f>IF('8 Cost of Production'!G35&gt;0,($E109*'8 Cost of Production'!G9/'8 Cost of Production'!G35),0)</f>
        <v>0.4672168242437992</v>
      </c>
      <c r="H111" s="3">
        <f>IF('8 Cost of Production'!H35&gt;0,($E109*'8 Cost of Production'!H9/'8 Cost of Production'!H35),0)</f>
        <v>1.9425452441988165</v>
      </c>
      <c r="I111" s="3">
        <f>IF('8 Cost of Production'!I35&gt;0,($E109*'8 Cost of Production'!I9/'8 Cost of Production'!I35),0)</f>
        <v>5.314601376133323</v>
      </c>
      <c r="J111" s="3">
        <f>IF('8 Cost of Production'!J35&gt;0,($E109*'8 Cost of Production'!J9/'8 Cost of Production'!J35),0)</f>
        <v>0.46721682424379923</v>
      </c>
      <c r="K111" s="3">
        <f>IF('8 Cost of Production'!K35&gt;0,($E109*'8 Cost of Production'!K9/'8 Cost of Production'!K35),0)</f>
        <v>1.942545244198816</v>
      </c>
      <c r="L111" s="3">
        <f>IF('8 Cost of Production'!L35&gt;0,($E109*'8 Cost of Production'!L9/'8 Cost of Production'!L35),0)</f>
        <v>5.314601376133324</v>
      </c>
      <c r="M111" s="3">
        <f>IF('8 Cost of Production'!M35&gt;0,($E109*'8 Cost of Production'!M9/'8 Cost of Production'!M35),0)</f>
        <v>33.163547143896594</v>
      </c>
      <c r="N111" s="3">
        <f>IF('8 Cost of Production'!N35&gt;0,($E109*'8 Cost of Production'!N9/'8 Cost of Production'!N35),0)</f>
        <v>33.163547143896594</v>
      </c>
      <c r="O111" s="3">
        <f>IF('8 Cost of Production'!O35&gt;0,($E109*'8 Cost of Production'!O9/'8 Cost of Production'!O35),0)</f>
        <v>33.16354714389659</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row>
    <row r="112" spans="2:28" ht="12.75">
      <c r="B112" s="64"/>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ht="12.75">
      <c r="B113" s="64" t="s">
        <v>84</v>
      </c>
      <c r="C113" s="1"/>
      <c r="D113" s="2"/>
      <c r="E113" s="37">
        <f>E109+E59+AE29</f>
        <v>2589064.246189352</v>
      </c>
      <c r="F113" s="2"/>
      <c r="G113" s="2"/>
      <c r="H113" s="2"/>
      <c r="I113" s="2"/>
      <c r="J113" s="2"/>
      <c r="K113" s="2"/>
      <c r="L113" s="2"/>
      <c r="M113" s="2"/>
      <c r="N113" s="2"/>
      <c r="O113" s="2"/>
      <c r="P113" s="2"/>
      <c r="Q113" s="2"/>
      <c r="R113" s="2"/>
      <c r="S113" s="2"/>
      <c r="T113" s="2"/>
      <c r="U113" s="2"/>
      <c r="V113" s="2"/>
      <c r="W113" s="2"/>
      <c r="X113" s="2"/>
      <c r="Y113" s="2"/>
      <c r="Z113" s="2"/>
      <c r="AA113" s="2"/>
      <c r="AB113" s="2"/>
    </row>
    <row r="114" spans="2:28" ht="12.75">
      <c r="B114" s="64"/>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ht="26.25" thickBot="1">
      <c r="B115" s="65"/>
      <c r="C115" s="38"/>
      <c r="D115" s="54" t="str">
        <f>'8 Cost of Production'!D98</f>
        <v>Container Crop 1</v>
      </c>
      <c r="E115" s="54" t="str">
        <f>'8 Cost of Production'!E98</f>
        <v>Container Crop 2</v>
      </c>
      <c r="F115" s="54" t="str">
        <f>'8 Cost of Production'!F98</f>
        <v>Container Crop 3</v>
      </c>
      <c r="G115" s="54" t="str">
        <f>'8 Cost of Production'!G98</f>
        <v>Container Crop 4</v>
      </c>
      <c r="H115" s="54" t="str">
        <f>'8 Cost of Production'!H98</f>
        <v>Container Crop 5</v>
      </c>
      <c r="I115" s="54" t="str">
        <f>'8 Cost of Production'!I98</f>
        <v>Container Crop 6</v>
      </c>
      <c r="J115" s="54" t="str">
        <f>'8 Cost of Production'!J98</f>
        <v>Container Crop 7</v>
      </c>
      <c r="K115" s="54" t="str">
        <f>'8 Cost of Production'!K98</f>
        <v>Container Crop 8</v>
      </c>
      <c r="L115" s="54" t="str">
        <f>'8 Cost of Production'!L98</f>
        <v>Container Crop 9</v>
      </c>
      <c r="M115" s="54" t="str">
        <f>'8 Cost of Production'!M98</f>
        <v>Field Crop 1</v>
      </c>
      <c r="N115" s="54" t="str">
        <f>'8 Cost of Production'!N98</f>
        <v>Field Crop 2</v>
      </c>
      <c r="O115" s="54" t="str">
        <f>'8 Cost of Production'!O98</f>
        <v>Field Crop 3</v>
      </c>
      <c r="P115" s="54" t="str">
        <f>'8 Cost of Production'!P98</f>
        <v>Container Crop 10</v>
      </c>
      <c r="Q115" s="54" t="str">
        <f>'8 Cost of Production'!Q98</f>
        <v>Container Crop 11</v>
      </c>
      <c r="R115" s="54" t="str">
        <f>'8 Cost of Production'!R98</f>
        <v>Container Crop 12</v>
      </c>
      <c r="S115" s="54" t="str">
        <f>'8 Cost of Production'!S98</f>
        <v>Container Crop 13</v>
      </c>
      <c r="T115" s="54" t="str">
        <f>'8 Cost of Production'!T98</f>
        <v>Container Crop 14</v>
      </c>
      <c r="U115" s="54" t="str">
        <f>'8 Cost of Production'!U98</f>
        <v>Container Crop 15</v>
      </c>
      <c r="V115" s="54" t="str">
        <f>'8 Cost of Production'!V98</f>
        <v>Container Crop 16</v>
      </c>
      <c r="W115" s="54" t="str">
        <f>'8 Cost of Production'!W98</f>
        <v>Container Crop 17</v>
      </c>
      <c r="X115" s="54" t="str">
        <f>'8 Cost of Production'!X98</f>
        <v>Container Crop 18</v>
      </c>
      <c r="Y115" s="54" t="str">
        <f>'8 Cost of Production'!Y98</f>
        <v>Field Crop 4</v>
      </c>
      <c r="Z115" s="54" t="str">
        <f>'8 Cost of Production'!Z98</f>
        <v>Field Crop 5</v>
      </c>
      <c r="AA115" s="54" t="str">
        <f>'8 Cost of Production'!AA98</f>
        <v>Field Crop 6</v>
      </c>
      <c r="AB115" s="54" t="str">
        <f>'8 Cost of Production'!AB98</f>
        <v>Field Crop 7</v>
      </c>
    </row>
    <row r="116" spans="2:28" ht="12.75">
      <c r="B116" s="64" t="s">
        <v>60</v>
      </c>
      <c r="C116" s="1"/>
      <c r="D116" s="3">
        <f>IF('8 Cost of Production'!D100&gt;0,(('8 Cost of Production'!D37/'1 Enterprises'!D15)+D111),0)</f>
        <v>3.150727643655613</v>
      </c>
      <c r="E116" s="3">
        <f>IF('8 Cost of Production'!E100&gt;0,(('8 Cost of Production'!E37/'1 Enterprises'!E15)+E111),0)</f>
        <v>9.078775753049365</v>
      </c>
      <c r="F116" s="3">
        <f>IF('8 Cost of Production'!F100&gt;0,(('8 Cost of Production'!F37/'1 Enterprises'!F15)+F111),0)</f>
        <v>24.57953368209515</v>
      </c>
      <c r="G116" s="3">
        <f>IF('8 Cost of Production'!G100&gt;0,(('8 Cost of Production'!G37/'1 Enterprises'!G15)+G111),0)</f>
        <v>3.5975345484175176</v>
      </c>
      <c r="H116" s="3">
        <f>IF('8 Cost of Production'!H100&gt;0,(('8 Cost of Production'!H37/'1 Enterprises'!H15)+H111),0)</f>
        <v>9.36672598834348</v>
      </c>
      <c r="I116" s="3">
        <f>IF('8 Cost of Production'!I100&gt;0,(('8 Cost of Production'!I37/'1 Enterprises'!I15)+I111),0)</f>
        <v>25.420386539238002</v>
      </c>
      <c r="J116" s="3">
        <f>IF('8 Cost of Production'!J100&gt;0,(('8 Cost of Production'!J37/'1 Enterprises'!J15)+J111),0)</f>
        <v>4.2500156000048195</v>
      </c>
      <c r="K116" s="3">
        <f>IF('8 Cost of Production'!K100&gt;0,(('8 Cost of Production'!K37/'1 Enterprises'!K15)+K111),0)</f>
        <v>9.686961870696424</v>
      </c>
      <c r="L116" s="3">
        <f>IF('8 Cost of Production'!L100&gt;0,(('8 Cost of Production'!L37/'1 Enterprises'!L15)+L111),0)</f>
        <v>26.681665824952287</v>
      </c>
      <c r="M116" s="3">
        <f>IF('8 Cost of Production'!M100&gt;0,(('8 Cost of Production'!M37/'1 Enterprises'!M15)+M111),0)</f>
        <v>94.29224070067404</v>
      </c>
      <c r="N116" s="3">
        <f>IF('8 Cost of Production'!N100&gt;0,(('8 Cost of Production'!N37/'1 Enterprises'!N15)+N111),0)</f>
        <v>94.9870936418505</v>
      </c>
      <c r="O116" s="3">
        <f>IF('8 Cost of Production'!O100&gt;0,(('8 Cost of Production'!O37/'1 Enterprises'!O15)+O111),0)</f>
        <v>96.02937305361522</v>
      </c>
      <c r="P116" s="3">
        <f>IF('8 Cost of Production'!P100&gt;0,(('8 Cost of Production'!P37/'1 Enterprises'!P15)+P111),0)</f>
        <v>0</v>
      </c>
      <c r="Q116" s="3">
        <f>IF('8 Cost of Production'!Q100&gt;0,(('8 Cost of Production'!Q37/'1 Enterprises'!Q15)+Q111),0)</f>
        <v>0</v>
      </c>
      <c r="R116" s="3">
        <f>IF('8 Cost of Production'!R100&gt;0,(('8 Cost of Production'!R37/'1 Enterprises'!R15)+R111),0)</f>
        <v>0</v>
      </c>
      <c r="S116" s="3">
        <f>IF('8 Cost of Production'!S100&gt;0,(('8 Cost of Production'!S37/'1 Enterprises'!S15)+S111),0)</f>
        <v>0</v>
      </c>
      <c r="T116" s="3">
        <f>IF('8 Cost of Production'!T100&gt;0,(('8 Cost of Production'!T37/'1 Enterprises'!T15)+T111),0)</f>
        <v>0</v>
      </c>
      <c r="U116" s="3">
        <f>IF('8 Cost of Production'!U100&gt;0,(('8 Cost of Production'!U37/'1 Enterprises'!U15)+U111),0)</f>
        <v>0</v>
      </c>
      <c r="V116" s="3">
        <f>IF('8 Cost of Production'!V100&gt;0,(('8 Cost of Production'!V37/'1 Enterprises'!V15)+V111),0)</f>
        <v>0</v>
      </c>
      <c r="W116" s="3">
        <f>IF('8 Cost of Production'!W100&gt;0,(('8 Cost of Production'!W37/'1 Enterprises'!W15)+W111),0)</f>
        <v>0</v>
      </c>
      <c r="X116" s="3">
        <f>IF('8 Cost of Production'!X100&gt;0,(('8 Cost of Production'!X37/'1 Enterprises'!X15)+X111),0)</f>
        <v>0</v>
      </c>
      <c r="Y116" s="3">
        <f>IF('8 Cost of Production'!Y100&gt;0,(('8 Cost of Production'!Y37/'1 Enterprises'!Y15)+Y111),0)</f>
        <v>0</v>
      </c>
      <c r="Z116" s="3">
        <f>IF('8 Cost of Production'!Z100&gt;0,(('8 Cost of Production'!Z37/'1 Enterprises'!Z15)+Z111),0)</f>
        <v>0</v>
      </c>
      <c r="AA116" s="3">
        <f>IF('8 Cost of Production'!AA100&gt;0,(('8 Cost of Production'!AA37/'1 Enterprises'!AA15)+AA111),0)</f>
        <v>0</v>
      </c>
      <c r="AB116" s="3">
        <f>IF('8 Cost of Production'!AB100&gt;0,(('8 Cost of Production'!AB37/'1 Enterprises'!AB15)+AB111),0)</f>
        <v>0</v>
      </c>
    </row>
    <row r="117" spans="2:28" s="136" customFormat="1" ht="15.75">
      <c r="B117" s="246" t="s">
        <v>445</v>
      </c>
      <c r="C117" s="247"/>
      <c r="D117" s="249">
        <f>IF(D116&gt;0,(D116/'1 Enterprises'!D8),0)</f>
        <v>3.150727643655613</v>
      </c>
      <c r="E117" s="249">
        <f>IF(E116&gt;0,(E116/'1 Enterprises'!E8),0)</f>
        <v>9.078775753049365</v>
      </c>
      <c r="F117" s="249">
        <f>IF(F116&gt;0,(F116/'1 Enterprises'!F8),0)</f>
        <v>24.57953368209515</v>
      </c>
      <c r="G117" s="249">
        <f>IF(G116&gt;0,(G116/'1 Enterprises'!G8),0)</f>
        <v>3.5975345484175176</v>
      </c>
      <c r="H117" s="249">
        <f>IF(H116&gt;0,(H116/'1 Enterprises'!H8),0)</f>
        <v>9.36672598834348</v>
      </c>
      <c r="I117" s="249">
        <f>IF(I116&gt;0,(I116/'1 Enterprises'!I8),0)</f>
        <v>25.420386539238002</v>
      </c>
      <c r="J117" s="249">
        <f>IF(J116&gt;0,(J116/'1 Enterprises'!J8),0)</f>
        <v>4.2500156000048195</v>
      </c>
      <c r="K117" s="249">
        <f>IF(K116&gt;0,(K116/'1 Enterprises'!K8),0)</f>
        <v>9.686961870696424</v>
      </c>
      <c r="L117" s="249">
        <f>IF(L116&gt;0,(L116/'1 Enterprises'!L8),0)</f>
        <v>26.681665824952287</v>
      </c>
      <c r="M117" s="249">
        <f>IF(M116&gt;0,(M116/'1 Enterprises'!M8),0)</f>
        <v>94.29224070067404</v>
      </c>
      <c r="N117" s="249">
        <f>IF(N116&gt;0,(N116/'1 Enterprises'!N8),0)</f>
        <v>94.9870936418505</v>
      </c>
      <c r="O117" s="249">
        <f>IF(O116&gt;0,(O116/'1 Enterprises'!O8),0)</f>
        <v>96.02937305361522</v>
      </c>
      <c r="P117" s="249">
        <f>IF(P116&gt;0,(P116/'1 Enterprises'!P8),0)</f>
        <v>0</v>
      </c>
      <c r="Q117" s="249">
        <f>IF(Q116&gt;0,(Q116/'1 Enterprises'!Q8),0)</f>
        <v>0</v>
      </c>
      <c r="R117" s="249">
        <f>IF(R116&gt;0,(R116/'1 Enterprises'!R8),0)</f>
        <v>0</v>
      </c>
      <c r="S117" s="249">
        <f>IF(S116&gt;0,(S116/'1 Enterprises'!S8),0)</f>
        <v>0</v>
      </c>
      <c r="T117" s="249">
        <f>IF(T116&gt;0,(T116/'1 Enterprises'!T8),0)</f>
        <v>0</v>
      </c>
      <c r="U117" s="249">
        <f>IF(U116&gt;0,(U116/'1 Enterprises'!U8),0)</f>
        <v>0</v>
      </c>
      <c r="V117" s="249">
        <f>IF(V116&gt;0,(V116/'1 Enterprises'!V8),0)</f>
        <v>0</v>
      </c>
      <c r="W117" s="249">
        <f>IF(W116&gt;0,(W116/'1 Enterprises'!W8),0)</f>
        <v>0</v>
      </c>
      <c r="X117" s="249">
        <f>IF(X116&gt;0,(X116/'1 Enterprises'!X8),0)</f>
        <v>0</v>
      </c>
      <c r="Y117" s="249">
        <f>IF(Y116&gt;0,(Y116/'1 Enterprises'!Y8),0)</f>
        <v>0</v>
      </c>
      <c r="Z117" s="249">
        <f>IF(Z116&gt;0,(Z116/'1 Enterprises'!Z8),0)</f>
        <v>0</v>
      </c>
      <c r="AA117" s="249">
        <f>IF(AA116&gt;0,(AA116/'1 Enterprises'!AA8),0)</f>
        <v>0</v>
      </c>
      <c r="AB117" s="249">
        <f>IF(AB116&gt;0,(AB116/'1 Enterprises'!AB8),0)</f>
        <v>0</v>
      </c>
    </row>
    <row r="118" spans="2:28" ht="12">
      <c r="B118" s="64"/>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ht="12">
      <c r="B119"/>
    </row>
  </sheetData>
  <sheetProtection sheet="1" objects="1" scenarios="1"/>
  <printOptions/>
  <pageMargins left="0.75" right="0.75" top="0.25" bottom="0.5" header="0"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MSU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A. Betz</dc:creator>
  <cp:keywords/>
  <dc:description/>
  <cp:lastModifiedBy>Tom Fernandez</cp:lastModifiedBy>
  <cp:lastPrinted>2007-03-01T11:35:15Z</cp:lastPrinted>
  <dcterms:created xsi:type="dcterms:W3CDTF">2001-01-08T02:30:23Z</dcterms:created>
  <dcterms:modified xsi:type="dcterms:W3CDTF">2009-03-02T17:24:29Z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